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pbdot\Drafts_PublicAndLogin\Downgradient\"/>
    </mc:Choice>
  </mc:AlternateContent>
  <xr:revisionPtr revIDLastSave="0" documentId="13_ncr:1_{51D6B663-4858-49CD-ADE0-26FC10CFC6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tart" sheetId="1" r:id="rId1"/>
    <sheet name="Inputs" sheetId="2" r:id="rId2"/>
    <sheet name="Centerline" sheetId="3" r:id="rId3"/>
    <sheet name="Plume_PCE" sheetId="4" r:id="rId4"/>
    <sheet name="Plume_TCE" sheetId="5" r:id="rId5"/>
    <sheet name="Plume_DCE" sheetId="6" r:id="rId6"/>
    <sheet name="Plume_VC" sheetId="7" r:id="rId7"/>
    <sheet name="Breakthrough" sheetId="8" r:id="rId8"/>
    <sheet name="Validation" sheetId="9" r:id="rId9"/>
    <sheet name="Num_Validation" sheetId="10" r:id="rId10"/>
    <sheet name="The_Landscape" sheetId="13" r:id="rId11"/>
    <sheet name="Engine" sheetId="11" state="hidden" r:id="rId12"/>
    <sheet name="Calc_x" sheetId="12" state="hidden" r:id="rId13"/>
  </sheets>
  <definedNames>
    <definedName name="a_L">Inputs!$C$6</definedName>
    <definedName name="a_T">Inputs!$C$7</definedName>
    <definedName name="a_V">Inputs!$C$8</definedName>
    <definedName name="a0_1">Engine!$B$21</definedName>
    <definedName name="a0_2">Engine!$B$22</definedName>
    <definedName name="a0_3">Engine!$B$23</definedName>
    <definedName name="a0_4">Engine!$B$24</definedName>
    <definedName name="C0_1">Inputs!$C$22</definedName>
    <definedName name="C0_2">Inputs!$C$23</definedName>
    <definedName name="C0_3">Inputs!$C$24</definedName>
    <definedName name="C0_4">Inputs!$C$25</definedName>
    <definedName name="cc_1">Engine!$B$9</definedName>
    <definedName name="cc_2">Engine!$B$10</definedName>
    <definedName name="cc_3">Engine!$B$11</definedName>
    <definedName name="cc_4">Engine!$B$12</definedName>
    <definedName name="kf_1">Engine!$B$4</definedName>
    <definedName name="kf_2">Engine!$B$5</definedName>
    <definedName name="kf_3">Engine!$B$6</definedName>
    <definedName name="kf_4">Engine!$B$7</definedName>
    <definedName name="lam_1">Inputs!$D$22</definedName>
    <definedName name="lam_2">Inputs!$D$23</definedName>
    <definedName name="lam_3">Inputs!$D$24</definedName>
    <definedName name="lam_4">Inputs!$D$25</definedName>
    <definedName name="mode">Inputs!$C$13</definedName>
    <definedName name="p_21">Engine!$B$14</definedName>
    <definedName name="p_31">Engine!$B$16</definedName>
    <definedName name="p_32">Engine!$B$15</definedName>
    <definedName name="p_41">Engine!$B$19</definedName>
    <definedName name="p_42">Engine!$B$18</definedName>
    <definedName name="p_43">Engine!$B$17</definedName>
    <definedName name="por">Inputs!$C$10</definedName>
    <definedName name="R_eng">Inputs!$C$9</definedName>
    <definedName name="recx_1">Inputs!$C$37</definedName>
    <definedName name="recx_2">Inputs!$C$38</definedName>
    <definedName name="recx_3">Inputs!$C$39</definedName>
    <definedName name="recy_1">Inputs!$D$37</definedName>
    <definedName name="recy_2">Inputs!$D$38</definedName>
    <definedName name="recy_3">Inputs!$D$39</definedName>
    <definedName name="Ri_1">Inputs!$E$22</definedName>
    <definedName name="Ri_2">Inputs!$E$23</definedName>
    <definedName name="Ri_3">Inputs!$E$24</definedName>
    <definedName name="Ri_4">Inputs!$E$25</definedName>
    <definedName name="t_max">Inputs!$C$41</definedName>
    <definedName name="t_sim">Inputs!$C$14</definedName>
    <definedName name="v_c">Engine!$B$2</definedName>
    <definedName name="v_s">Inputs!$C$5</definedName>
    <definedName name="x_max">Inputs!$C$32</definedName>
    <definedName name="x_min">Inputs!$C$31</definedName>
    <definedName name="y_2">Inputs!$F$23</definedName>
    <definedName name="y_3">Inputs!$F$24</definedName>
    <definedName name="y_4">Inputs!$F$25</definedName>
    <definedName name="y_half">Inputs!$C$33</definedName>
    <definedName name="Y_src">Inputs!$C$17</definedName>
    <definedName name="Z_src">Inputs!$C$18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12" l="1"/>
  <c r="T31" i="12"/>
  <c r="B31" i="12"/>
  <c r="T30" i="12"/>
  <c r="G30" i="12"/>
  <c r="B30" i="12"/>
  <c r="T29" i="12"/>
  <c r="G29" i="12"/>
  <c r="B29" i="12"/>
  <c r="B28" i="12"/>
  <c r="B27" i="12"/>
  <c r="T26" i="12"/>
  <c r="G26" i="12"/>
  <c r="B26" i="12"/>
  <c r="T25" i="12"/>
  <c r="G25" i="12"/>
  <c r="B25" i="12"/>
  <c r="G24" i="12"/>
  <c r="B24" i="12"/>
  <c r="B23" i="12"/>
  <c r="T22" i="12"/>
  <c r="G22" i="12"/>
  <c r="B22" i="12"/>
  <c r="G21" i="12"/>
  <c r="B21" i="12"/>
  <c r="B20" i="12"/>
  <c r="B19" i="12"/>
  <c r="T18" i="12"/>
  <c r="G18" i="12"/>
  <c r="B18" i="12"/>
  <c r="T17" i="12"/>
  <c r="G17" i="12"/>
  <c r="B17" i="12"/>
  <c r="T16" i="12"/>
  <c r="G16" i="12"/>
  <c r="B16" i="12"/>
  <c r="B15" i="12"/>
  <c r="B14" i="12"/>
  <c r="B13" i="12"/>
  <c r="B12" i="12"/>
  <c r="T12" i="12" s="1"/>
  <c r="T11" i="12"/>
  <c r="G11" i="12"/>
  <c r="B11" i="12"/>
  <c r="G10" i="12"/>
  <c r="B10" i="12"/>
  <c r="B9" i="12"/>
  <c r="B8" i="12"/>
  <c r="T7" i="12"/>
  <c r="G7" i="12"/>
  <c r="B7" i="12"/>
  <c r="T6" i="12"/>
  <c r="B6" i="12"/>
  <c r="B5" i="12"/>
  <c r="T4" i="12"/>
  <c r="B4" i="12"/>
  <c r="T3" i="12"/>
  <c r="G3" i="12"/>
  <c r="B3" i="12"/>
  <c r="B2" i="12"/>
  <c r="B21" i="11"/>
  <c r="B18" i="11"/>
  <c r="B7" i="11"/>
  <c r="B6" i="11"/>
  <c r="B5" i="11"/>
  <c r="B4" i="11"/>
  <c r="B2" i="11"/>
  <c r="AG68" i="9"/>
  <c r="X68" i="9"/>
  <c r="AG67" i="9"/>
  <c r="X67" i="9"/>
  <c r="U67" i="9"/>
  <c r="AG66" i="9"/>
  <c r="X66" i="9"/>
  <c r="AG65" i="9"/>
  <c r="X65" i="9"/>
  <c r="AG64" i="9"/>
  <c r="X64" i="9"/>
  <c r="AG63" i="9"/>
  <c r="X63" i="9"/>
  <c r="AG62" i="9"/>
  <c r="X62" i="9"/>
  <c r="AG61" i="9"/>
  <c r="X61" i="9"/>
  <c r="AG60" i="9"/>
  <c r="X60" i="9"/>
  <c r="AG59" i="9"/>
  <c r="X59" i="9"/>
  <c r="AG58" i="9"/>
  <c r="X58" i="9"/>
  <c r="AG57" i="9"/>
  <c r="X57" i="9"/>
  <c r="AG56" i="9"/>
  <c r="X56" i="9"/>
  <c r="W56" i="9"/>
  <c r="AG55" i="9"/>
  <c r="X55" i="9"/>
  <c r="U55" i="9"/>
  <c r="AG54" i="9"/>
  <c r="X54" i="9"/>
  <c r="AG53" i="9"/>
  <c r="X53" i="9"/>
  <c r="W53" i="9"/>
  <c r="AG52" i="9"/>
  <c r="X52" i="9"/>
  <c r="W52" i="9"/>
  <c r="AG51" i="9"/>
  <c r="X51" i="9"/>
  <c r="AG50" i="9"/>
  <c r="X50" i="9"/>
  <c r="U50" i="9"/>
  <c r="AG49" i="9"/>
  <c r="X49" i="9"/>
  <c r="AG48" i="9"/>
  <c r="X48" i="9"/>
  <c r="W48" i="9"/>
  <c r="AG47" i="9"/>
  <c r="X47" i="9"/>
  <c r="U47" i="9"/>
  <c r="AG46" i="9"/>
  <c r="X46" i="9"/>
  <c r="AG45" i="9"/>
  <c r="X45" i="9"/>
  <c r="W45" i="9"/>
  <c r="AG44" i="9"/>
  <c r="X44" i="9"/>
  <c r="W44" i="9"/>
  <c r="AG43" i="9"/>
  <c r="X43" i="9"/>
  <c r="AG42" i="9"/>
  <c r="X42" i="9"/>
  <c r="U42" i="9"/>
  <c r="AG41" i="9"/>
  <c r="X41" i="9"/>
  <c r="AG40" i="9"/>
  <c r="X40" i="9"/>
  <c r="W40" i="9"/>
  <c r="AG39" i="9"/>
  <c r="X39" i="9"/>
  <c r="U39" i="9"/>
  <c r="C31" i="9"/>
  <c r="C28" i="9"/>
  <c r="C27" i="9"/>
  <c r="C23" i="9"/>
  <c r="W61" i="9" s="1"/>
  <c r="C21" i="9"/>
  <c r="C19" i="9"/>
  <c r="C18" i="9"/>
  <c r="C22" i="9" s="1"/>
  <c r="C17" i="9"/>
  <c r="C16" i="9"/>
  <c r="C15" i="9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J8" i="8"/>
  <c r="AI8" i="8"/>
  <c r="AH8" i="8"/>
  <c r="AB8" i="8"/>
  <c r="AA8" i="8"/>
  <c r="Z8" i="8"/>
  <c r="AD8" i="8" s="1"/>
  <c r="X8" i="8"/>
  <c r="W8" i="8"/>
  <c r="V8" i="8"/>
  <c r="R8" i="8"/>
  <c r="P8" i="8"/>
  <c r="O8" i="8"/>
  <c r="N8" i="8"/>
  <c r="L8" i="8"/>
  <c r="K8" i="8"/>
  <c r="J8" i="8"/>
  <c r="D8" i="8"/>
  <c r="C8" i="8"/>
  <c r="B8" i="8"/>
  <c r="F8" i="8" s="1"/>
  <c r="A8" i="8"/>
  <c r="AK8" i="8" s="1"/>
  <c r="Z6" i="8"/>
  <c r="N6" i="8"/>
  <c r="B6" i="8"/>
  <c r="Z5" i="8"/>
  <c r="N5" i="8"/>
  <c r="B5" i="8"/>
  <c r="B2" i="8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AG4" i="7"/>
  <c r="AF4" i="7"/>
  <c r="AE4" i="7"/>
  <c r="AD4" i="7"/>
  <c r="AC4" i="7"/>
  <c r="AB4" i="7"/>
  <c r="AA4" i="7"/>
  <c r="Z4" i="7"/>
  <c r="Y4" i="7"/>
  <c r="W4" i="7"/>
  <c r="V4" i="7"/>
  <c r="U4" i="7"/>
  <c r="T4" i="7"/>
  <c r="S4" i="7"/>
  <c r="R4" i="7"/>
  <c r="Q4" i="7"/>
  <c r="P4" i="7"/>
  <c r="O4" i="7"/>
  <c r="N4" i="7"/>
  <c r="M4" i="7"/>
  <c r="L4" i="7"/>
  <c r="K4" i="7"/>
  <c r="J4" i="7"/>
  <c r="I4" i="7"/>
  <c r="H4" i="7"/>
  <c r="G4" i="7"/>
  <c r="F4" i="7"/>
  <c r="E4" i="7"/>
  <c r="D4" i="7"/>
  <c r="A2" i="7"/>
  <c r="B30" i="6"/>
  <c r="B29" i="6"/>
  <c r="B28" i="6"/>
  <c r="B27" i="6"/>
  <c r="B26" i="6"/>
  <c r="B25" i="6"/>
  <c r="B24" i="6"/>
  <c r="B23" i="6"/>
  <c r="B22" i="6"/>
  <c r="B21" i="6"/>
  <c r="B20" i="6"/>
  <c r="B19" i="6"/>
  <c r="C18" i="6"/>
  <c r="B18" i="6"/>
  <c r="B17" i="6"/>
  <c r="B16" i="6"/>
  <c r="C15" i="6"/>
  <c r="B15" i="6"/>
  <c r="B14" i="6"/>
  <c r="B13" i="6"/>
  <c r="B12" i="6"/>
  <c r="C11" i="6"/>
  <c r="B11" i="6"/>
  <c r="B10" i="6"/>
  <c r="B9" i="6"/>
  <c r="B8" i="6"/>
  <c r="C7" i="6"/>
  <c r="B7" i="6"/>
  <c r="B6" i="6"/>
  <c r="AG4" i="6"/>
  <c r="AF4" i="6"/>
  <c r="AE4" i="6"/>
  <c r="AD4" i="6"/>
  <c r="AC4" i="6"/>
  <c r="AB4" i="6"/>
  <c r="AA4" i="6"/>
  <c r="Z4" i="6"/>
  <c r="Y4" i="6"/>
  <c r="X4" i="6"/>
  <c r="W4" i="6"/>
  <c r="V4" i="6"/>
  <c r="U4" i="6"/>
  <c r="T4" i="6"/>
  <c r="S4" i="6"/>
  <c r="R4" i="6"/>
  <c r="Q4" i="6"/>
  <c r="P4" i="6"/>
  <c r="O4" i="6"/>
  <c r="N4" i="6"/>
  <c r="M4" i="6"/>
  <c r="L4" i="6"/>
  <c r="K4" i="6"/>
  <c r="J4" i="6"/>
  <c r="I4" i="6"/>
  <c r="H4" i="6"/>
  <c r="G4" i="6"/>
  <c r="F4" i="6"/>
  <c r="E4" i="6"/>
  <c r="D4" i="6"/>
  <c r="C4" i="6"/>
  <c r="A2" i="6"/>
  <c r="C30" i="5"/>
  <c r="B30" i="5"/>
  <c r="C29" i="5"/>
  <c r="B29" i="5"/>
  <c r="C28" i="5"/>
  <c r="B28" i="5"/>
  <c r="C27" i="5"/>
  <c r="B27" i="5"/>
  <c r="C26" i="5"/>
  <c r="B26" i="5"/>
  <c r="C25" i="5"/>
  <c r="B25" i="5"/>
  <c r="C24" i="5"/>
  <c r="B24" i="5"/>
  <c r="C23" i="5"/>
  <c r="B23" i="5"/>
  <c r="C22" i="5"/>
  <c r="B22" i="5"/>
  <c r="C21" i="5"/>
  <c r="B21" i="5"/>
  <c r="C20" i="5"/>
  <c r="B20" i="5"/>
  <c r="C19" i="5"/>
  <c r="B19" i="5"/>
  <c r="C18" i="5"/>
  <c r="B18" i="5"/>
  <c r="C17" i="5"/>
  <c r="B17" i="5"/>
  <c r="C16" i="5"/>
  <c r="B16" i="5"/>
  <c r="C15" i="5"/>
  <c r="B15" i="5"/>
  <c r="C14" i="5"/>
  <c r="B14" i="5"/>
  <c r="C13" i="5"/>
  <c r="B13" i="5"/>
  <c r="C12" i="5"/>
  <c r="B12" i="5"/>
  <c r="C11" i="5"/>
  <c r="B11" i="5"/>
  <c r="C10" i="5"/>
  <c r="B10" i="5"/>
  <c r="C9" i="5"/>
  <c r="B9" i="5"/>
  <c r="C8" i="5"/>
  <c r="B8" i="5"/>
  <c r="C7" i="5"/>
  <c r="B7" i="5"/>
  <c r="C6" i="5"/>
  <c r="B6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A2" i="5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AG4" i="4"/>
  <c r="AF4" i="4"/>
  <c r="AE4" i="4"/>
  <c r="AD4" i="4"/>
  <c r="AC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E4" i="4"/>
  <c r="D4" i="4"/>
  <c r="C4" i="4"/>
  <c r="A2" i="4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3" i="3"/>
  <c r="C27" i="2"/>
  <c r="B19" i="11" l="1"/>
  <c r="B14" i="11"/>
  <c r="B22" i="11" s="1"/>
  <c r="B16" i="11"/>
  <c r="B28" i="8"/>
  <c r="F28" i="8" s="1"/>
  <c r="J28" i="8" s="1"/>
  <c r="Z28" i="8"/>
  <c r="AD28" i="8" s="1"/>
  <c r="AH28" i="8" s="1"/>
  <c r="V68" i="9"/>
  <c r="V66" i="9"/>
  <c r="V64" i="9"/>
  <c r="V62" i="9"/>
  <c r="V60" i="9"/>
  <c r="V65" i="9"/>
  <c r="V61" i="9"/>
  <c r="V58" i="9"/>
  <c r="V56" i="9"/>
  <c r="V54" i="9"/>
  <c r="V52" i="9"/>
  <c r="V50" i="9"/>
  <c r="V48" i="9"/>
  <c r="V46" i="9"/>
  <c r="V44" i="9"/>
  <c r="V42" i="9"/>
  <c r="V40" i="9"/>
  <c r="V67" i="9"/>
  <c r="V59" i="9"/>
  <c r="V55" i="9"/>
  <c r="V51" i="9"/>
  <c r="V47" i="9"/>
  <c r="V43" i="9"/>
  <c r="V39" i="9"/>
  <c r="V63" i="9"/>
  <c r="V57" i="9"/>
  <c r="V49" i="9"/>
  <c r="V41" i="9"/>
  <c r="V45" i="9"/>
  <c r="V53" i="9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B9" i="11"/>
  <c r="N28" i="8" s="1"/>
  <c r="R28" i="8" s="1"/>
  <c r="V28" i="8" s="1"/>
  <c r="C30" i="6"/>
  <c r="C29" i="6"/>
  <c r="C28" i="6"/>
  <c r="C27" i="6"/>
  <c r="C26" i="6"/>
  <c r="C25" i="6"/>
  <c r="C24" i="6"/>
  <c r="C23" i="6"/>
  <c r="C22" i="6"/>
  <c r="C21" i="6"/>
  <c r="C20" i="6"/>
  <c r="C17" i="6"/>
  <c r="C13" i="6"/>
  <c r="C9" i="6"/>
  <c r="C16" i="6"/>
  <c r="C12" i="6"/>
  <c r="C8" i="6"/>
  <c r="C19" i="6"/>
  <c r="C6" i="6"/>
  <c r="C10" i="6"/>
  <c r="C14" i="6"/>
  <c r="N36" i="8"/>
  <c r="R36" i="8" s="1"/>
  <c r="V36" i="8" s="1"/>
  <c r="B36" i="8"/>
  <c r="F36" i="8" s="1"/>
  <c r="J36" i="8" s="1"/>
  <c r="Q36" i="8"/>
  <c r="Z36" i="8"/>
  <c r="AD36" i="8" s="1"/>
  <c r="AH36" i="8" s="1"/>
  <c r="B41" i="8"/>
  <c r="F41" i="8" s="1"/>
  <c r="J41" i="8" s="1"/>
  <c r="Z41" i="8"/>
  <c r="AD41" i="8" s="1"/>
  <c r="AH41" i="8" s="1"/>
  <c r="O41" i="8"/>
  <c r="N41" i="8"/>
  <c r="R41" i="8" s="1"/>
  <c r="V41" i="8" s="1"/>
  <c r="N16" i="8"/>
  <c r="R16" i="8" s="1"/>
  <c r="V16" i="8" s="1"/>
  <c r="B16" i="8"/>
  <c r="F16" i="8" s="1"/>
  <c r="J16" i="8" s="1"/>
  <c r="Z16" i="8"/>
  <c r="AD16" i="8" s="1"/>
  <c r="AH16" i="8" s="1"/>
  <c r="N24" i="8"/>
  <c r="R24" i="8" s="1"/>
  <c r="V24" i="8" s="1"/>
  <c r="AC24" i="8"/>
  <c r="B24" i="8"/>
  <c r="F24" i="8" s="1"/>
  <c r="J24" i="8" s="1"/>
  <c r="Z24" i="8"/>
  <c r="AD24" i="8" s="1"/>
  <c r="AH24" i="8" s="1"/>
  <c r="P24" i="8"/>
  <c r="N32" i="8"/>
  <c r="R32" i="8" s="1"/>
  <c r="V32" i="8" s="1"/>
  <c r="B32" i="8"/>
  <c r="F32" i="8" s="1"/>
  <c r="J32" i="8" s="1"/>
  <c r="Z32" i="8"/>
  <c r="AD32" i="8" s="1"/>
  <c r="AH32" i="8" s="1"/>
  <c r="E32" i="8"/>
  <c r="Z10" i="8"/>
  <c r="AD10" i="8" s="1"/>
  <c r="AH10" i="8" s="1"/>
  <c r="N10" i="8"/>
  <c r="R10" i="8" s="1"/>
  <c r="V10" i="8" s="1"/>
  <c r="B10" i="8"/>
  <c r="F10" i="8" s="1"/>
  <c r="J10" i="8" s="1"/>
  <c r="E14" i="8"/>
  <c r="N14" i="8"/>
  <c r="R14" i="8" s="1"/>
  <c r="B14" i="8"/>
  <c r="F14" i="8" s="1"/>
  <c r="J14" i="8" s="1"/>
  <c r="Z14" i="8"/>
  <c r="AD14" i="8" s="1"/>
  <c r="AH14" i="8" s="1"/>
  <c r="V14" i="8"/>
  <c r="U2" i="12"/>
  <c r="C6" i="3" s="1"/>
  <c r="E2" i="12"/>
  <c r="V2" i="12"/>
  <c r="D6" i="3" s="1"/>
  <c r="F2" i="12"/>
  <c r="T2" i="12"/>
  <c r="G2" i="12"/>
  <c r="D2" i="12"/>
  <c r="X2" i="12"/>
  <c r="F6" i="3" s="1"/>
  <c r="W2" i="12"/>
  <c r="E6" i="3" s="1"/>
  <c r="C2" i="12"/>
  <c r="H2" i="12" s="1"/>
  <c r="L2" i="12" s="1"/>
  <c r="C4" i="7"/>
  <c r="AB9" i="8"/>
  <c r="C9" i="8"/>
  <c r="N38" i="8"/>
  <c r="R38" i="8" s="1"/>
  <c r="V38" i="8" s="1"/>
  <c r="G23" i="12"/>
  <c r="C23" i="12"/>
  <c r="H23" i="12" s="1"/>
  <c r="L23" i="12" s="1"/>
  <c r="T23" i="12"/>
  <c r="X4" i="7"/>
  <c r="P15" i="8"/>
  <c r="N15" i="8"/>
  <c r="R15" i="8" s="1"/>
  <c r="V15" i="8" s="1"/>
  <c r="AC15" i="8"/>
  <c r="B15" i="8"/>
  <c r="F15" i="8" s="1"/>
  <c r="J15" i="8" s="1"/>
  <c r="Z17" i="8"/>
  <c r="AD17" i="8" s="1"/>
  <c r="AH17" i="8" s="1"/>
  <c r="N17" i="8"/>
  <c r="R17" i="8" s="1"/>
  <c r="V17" i="8" s="1"/>
  <c r="B17" i="8"/>
  <c r="F17" i="8" s="1"/>
  <c r="J17" i="8" s="1"/>
  <c r="C17" i="8"/>
  <c r="AB19" i="8"/>
  <c r="D19" i="8"/>
  <c r="N19" i="8"/>
  <c r="R19" i="8" s="1"/>
  <c r="V19" i="8" s="1"/>
  <c r="C19" i="8"/>
  <c r="B19" i="8"/>
  <c r="F19" i="8" s="1"/>
  <c r="J19" i="8" s="1"/>
  <c r="Z21" i="8"/>
  <c r="AD21" i="8" s="1"/>
  <c r="AH21" i="8" s="1"/>
  <c r="N21" i="8"/>
  <c r="R21" i="8" s="1"/>
  <c r="V21" i="8" s="1"/>
  <c r="B21" i="8"/>
  <c r="F21" i="8" s="1"/>
  <c r="J21" i="8" s="1"/>
  <c r="O21" i="8"/>
  <c r="P23" i="8"/>
  <c r="N23" i="8"/>
  <c r="R23" i="8" s="1"/>
  <c r="V23" i="8" s="1"/>
  <c r="AC23" i="8"/>
  <c r="B23" i="8"/>
  <c r="F23" i="8" s="1"/>
  <c r="J23" i="8" s="1"/>
  <c r="Z25" i="8"/>
  <c r="AD25" i="8" s="1"/>
  <c r="AH25" i="8" s="1"/>
  <c r="N25" i="8"/>
  <c r="R25" i="8" s="1"/>
  <c r="V25" i="8" s="1"/>
  <c r="B25" i="8"/>
  <c r="F25" i="8" s="1"/>
  <c r="J25" i="8" s="1"/>
  <c r="C25" i="8"/>
  <c r="AB27" i="8"/>
  <c r="D27" i="8"/>
  <c r="N27" i="8"/>
  <c r="R27" i="8" s="1"/>
  <c r="V27" i="8" s="1"/>
  <c r="C27" i="8"/>
  <c r="B27" i="8"/>
  <c r="F27" i="8" s="1"/>
  <c r="J27" i="8" s="1"/>
  <c r="Z29" i="8"/>
  <c r="AD29" i="8" s="1"/>
  <c r="AH29" i="8" s="1"/>
  <c r="N29" i="8"/>
  <c r="R29" i="8" s="1"/>
  <c r="V29" i="8" s="1"/>
  <c r="J29" i="8"/>
  <c r="B29" i="8"/>
  <c r="F29" i="8" s="1"/>
  <c r="O29" i="8"/>
  <c r="P31" i="8"/>
  <c r="N31" i="8"/>
  <c r="R31" i="8" s="1"/>
  <c r="V31" i="8" s="1"/>
  <c r="AC31" i="8"/>
  <c r="B31" i="8"/>
  <c r="F31" i="8" s="1"/>
  <c r="J31" i="8" s="1"/>
  <c r="Z33" i="8"/>
  <c r="AD33" i="8" s="1"/>
  <c r="AH33" i="8" s="1"/>
  <c r="N33" i="8"/>
  <c r="R33" i="8" s="1"/>
  <c r="V33" i="8" s="1"/>
  <c r="B33" i="8"/>
  <c r="F33" i="8" s="1"/>
  <c r="J33" i="8" s="1"/>
  <c r="C33" i="8"/>
  <c r="AB35" i="8"/>
  <c r="D35" i="8"/>
  <c r="N35" i="8"/>
  <c r="R35" i="8" s="1"/>
  <c r="V35" i="8" s="1"/>
  <c r="C35" i="8"/>
  <c r="B35" i="8"/>
  <c r="F35" i="8" s="1"/>
  <c r="J35" i="8" s="1"/>
  <c r="AC37" i="8"/>
  <c r="N37" i="8"/>
  <c r="R37" i="8" s="1"/>
  <c r="V37" i="8" s="1"/>
  <c r="B37" i="8"/>
  <c r="F37" i="8" s="1"/>
  <c r="J37" i="8" s="1"/>
  <c r="D37" i="8"/>
  <c r="Z37" i="8"/>
  <c r="AD37" i="8" s="1"/>
  <c r="AH37" i="8" s="1"/>
  <c r="B38" i="8"/>
  <c r="F38" i="8" s="1"/>
  <c r="J38" i="8" s="1"/>
  <c r="Z38" i="8"/>
  <c r="AD38" i="8" s="1"/>
  <c r="AH38" i="8" s="1"/>
  <c r="P38" i="8"/>
  <c r="Z39" i="8"/>
  <c r="AD39" i="8" s="1"/>
  <c r="AH39" i="8" s="1"/>
  <c r="N39" i="8"/>
  <c r="B39" i="8"/>
  <c r="F39" i="8" s="1"/>
  <c r="J39" i="8" s="1"/>
  <c r="U68" i="9"/>
  <c r="U64" i="9"/>
  <c r="U61" i="9"/>
  <c r="U59" i="9"/>
  <c r="U58" i="9"/>
  <c r="U63" i="9"/>
  <c r="U57" i="9"/>
  <c r="U56" i="9"/>
  <c r="U53" i="9"/>
  <c r="U52" i="9"/>
  <c r="U49" i="9"/>
  <c r="U48" i="9"/>
  <c r="U45" i="9"/>
  <c r="U44" i="9"/>
  <c r="U41" i="9"/>
  <c r="U40" i="9"/>
  <c r="U43" i="9"/>
  <c r="U46" i="9"/>
  <c r="U51" i="9"/>
  <c r="U54" i="9"/>
  <c r="U66" i="9"/>
  <c r="E8" i="8"/>
  <c r="M8" i="8"/>
  <c r="Q8" i="8"/>
  <c r="Y8" i="8"/>
  <c r="AC8" i="8"/>
  <c r="B11" i="8"/>
  <c r="F11" i="8" s="1"/>
  <c r="J11" i="8" s="1"/>
  <c r="N11" i="8"/>
  <c r="R11" i="8" s="1"/>
  <c r="V11" i="8" s="1"/>
  <c r="Z11" i="8"/>
  <c r="AD11" i="8" s="1"/>
  <c r="AH11" i="8" s="1"/>
  <c r="C25" i="9"/>
  <c r="C29" i="9"/>
  <c r="C34" i="9" s="1"/>
  <c r="C24" i="9"/>
  <c r="C32" i="9" s="1"/>
  <c r="W68" i="9"/>
  <c r="W64" i="9"/>
  <c r="W60" i="9"/>
  <c r="W67" i="9"/>
  <c r="W57" i="9"/>
  <c r="W59" i="9"/>
  <c r="W55" i="9"/>
  <c r="W51" i="9"/>
  <c r="W47" i="9"/>
  <c r="W43" i="9"/>
  <c r="W39" i="9"/>
  <c r="W65" i="9"/>
  <c r="W62" i="9"/>
  <c r="W58" i="9"/>
  <c r="W54" i="9"/>
  <c r="W50" i="9"/>
  <c r="W46" i="9"/>
  <c r="W42" i="9"/>
  <c r="W41" i="9"/>
  <c r="W49" i="9"/>
  <c r="U60" i="9"/>
  <c r="U62" i="9"/>
  <c r="W63" i="9"/>
  <c r="U65" i="9"/>
  <c r="W66" i="9"/>
  <c r="Z43" i="8"/>
  <c r="N43" i="8"/>
  <c r="B43" i="8"/>
  <c r="F43" i="8" s="1"/>
  <c r="J43" i="8" s="1"/>
  <c r="P45" i="8"/>
  <c r="Q45" i="8"/>
  <c r="AA46" i="8"/>
  <c r="C46" i="8"/>
  <c r="AB46" i="8"/>
  <c r="Z47" i="8"/>
  <c r="N47" i="8"/>
  <c r="R47" i="8" s="1"/>
  <c r="V47" i="8" s="1"/>
  <c r="B47" i="8"/>
  <c r="F47" i="8" s="1"/>
  <c r="J47" i="8" s="1"/>
  <c r="Q47" i="8"/>
  <c r="T5" i="12"/>
  <c r="E5" i="12"/>
  <c r="G5" i="12"/>
  <c r="E18" i="8"/>
  <c r="AC18" i="8"/>
  <c r="Q26" i="8"/>
  <c r="E34" i="8"/>
  <c r="AC34" i="8"/>
  <c r="B42" i="8"/>
  <c r="F42" i="8" s="1"/>
  <c r="J42" i="8" s="1"/>
  <c r="AC42" i="8"/>
  <c r="B45" i="8"/>
  <c r="F45" i="8" s="1"/>
  <c r="J45" i="8" s="1"/>
  <c r="B46" i="8"/>
  <c r="F46" i="8" s="1"/>
  <c r="J46" i="8" s="1"/>
  <c r="AC47" i="8"/>
  <c r="C26" i="9"/>
  <c r="C20" i="9"/>
  <c r="B12" i="11"/>
  <c r="AC36" i="8" s="1"/>
  <c r="C5" i="12"/>
  <c r="H5" i="12" s="1"/>
  <c r="L5" i="12" s="1"/>
  <c r="T13" i="12"/>
  <c r="D13" i="12"/>
  <c r="C13" i="12"/>
  <c r="H13" i="12" s="1"/>
  <c r="L13" i="12" s="1"/>
  <c r="G13" i="12"/>
  <c r="AD47" i="8"/>
  <c r="AH47" i="8" s="1"/>
  <c r="AD43" i="8"/>
  <c r="AH43" i="8" s="1"/>
  <c r="R43" i="8"/>
  <c r="V43" i="8" s="1"/>
  <c r="R39" i="8"/>
  <c r="V39" i="8" s="1"/>
  <c r="B17" i="11"/>
  <c r="B24" i="11" s="1"/>
  <c r="B11" i="11"/>
  <c r="G4" i="12"/>
  <c r="C4" i="12"/>
  <c r="H4" i="12" s="1"/>
  <c r="L4" i="12" s="1"/>
  <c r="F4" i="12"/>
  <c r="E10" i="12"/>
  <c r="F10" i="12"/>
  <c r="T10" i="12"/>
  <c r="G12" i="12"/>
  <c r="C12" i="12"/>
  <c r="H12" i="12" s="1"/>
  <c r="L12" i="12" s="1"/>
  <c r="F12" i="12"/>
  <c r="E12" i="12"/>
  <c r="G6" i="12"/>
  <c r="G8" i="12"/>
  <c r="C8" i="12"/>
  <c r="H8" i="12" s="1"/>
  <c r="L8" i="12" s="1"/>
  <c r="T14" i="12"/>
  <c r="G14" i="12"/>
  <c r="F16" i="12"/>
  <c r="T24" i="12"/>
  <c r="D24" i="12"/>
  <c r="C24" i="12"/>
  <c r="H24" i="12" s="1"/>
  <c r="L24" i="12" s="1"/>
  <c r="P24" i="12" s="1"/>
  <c r="G27" i="12"/>
  <c r="C27" i="12"/>
  <c r="H27" i="12" s="1"/>
  <c r="L27" i="12" s="1"/>
  <c r="T27" i="12"/>
  <c r="D27" i="12"/>
  <c r="E40" i="8"/>
  <c r="AC40" i="8"/>
  <c r="E44" i="8"/>
  <c r="Q44" i="8"/>
  <c r="AC44" i="8"/>
  <c r="Q48" i="8"/>
  <c r="B15" i="11"/>
  <c r="B23" i="11" s="1"/>
  <c r="C6" i="12"/>
  <c r="H6" i="12" s="1"/>
  <c r="L6" i="12" s="1"/>
  <c r="T8" i="12"/>
  <c r="T9" i="12"/>
  <c r="G9" i="12"/>
  <c r="C14" i="12"/>
  <c r="H14" i="12" s="1"/>
  <c r="L14" i="12" s="1"/>
  <c r="C16" i="12"/>
  <c r="H16" i="12" s="1"/>
  <c r="L16" i="12" s="1"/>
  <c r="P16" i="12" s="1"/>
  <c r="G19" i="12"/>
  <c r="C19" i="12"/>
  <c r="H19" i="12" s="1"/>
  <c r="L19" i="12" s="1"/>
  <c r="T19" i="12"/>
  <c r="D19" i="12"/>
  <c r="E21" i="12"/>
  <c r="C21" i="12"/>
  <c r="H21" i="12" s="1"/>
  <c r="L21" i="12" s="1"/>
  <c r="P21" i="12" s="1"/>
  <c r="T21" i="12"/>
  <c r="E27" i="12"/>
  <c r="B10" i="11"/>
  <c r="O13" i="8" s="1"/>
  <c r="F3" i="12"/>
  <c r="F7" i="12"/>
  <c r="T15" i="12"/>
  <c r="D15" i="12"/>
  <c r="G15" i="12"/>
  <c r="E25" i="12"/>
  <c r="C25" i="12"/>
  <c r="H25" i="12" s="1"/>
  <c r="L25" i="12" s="1"/>
  <c r="P25" i="12" s="1"/>
  <c r="E29" i="12"/>
  <c r="C29" i="12"/>
  <c r="H29" i="12" s="1"/>
  <c r="L29" i="12" s="1"/>
  <c r="P29" i="12" s="1"/>
  <c r="F29" i="12"/>
  <c r="F17" i="12"/>
  <c r="T20" i="12"/>
  <c r="D20" i="12"/>
  <c r="G20" i="12"/>
  <c r="T28" i="12"/>
  <c r="D28" i="12"/>
  <c r="G28" i="12"/>
  <c r="G31" i="12"/>
  <c r="C31" i="12"/>
  <c r="H31" i="12" s="1"/>
  <c r="L31" i="12" s="1"/>
  <c r="F32" i="12"/>
  <c r="T32" i="12"/>
  <c r="D32" i="12"/>
  <c r="G32" i="12"/>
  <c r="F22" i="12"/>
  <c r="F26" i="12"/>
  <c r="F30" i="12"/>
  <c r="Q5" i="4" l="1"/>
  <c r="U16" i="12"/>
  <c r="C20" i="3" s="1"/>
  <c r="Z5" i="4"/>
  <c r="U25" i="12"/>
  <c r="C29" i="3" s="1"/>
  <c r="Y5" i="4"/>
  <c r="U24" i="12"/>
  <c r="C28" i="3" s="1"/>
  <c r="AD5" i="4"/>
  <c r="U29" i="12"/>
  <c r="C33" i="3" s="1"/>
  <c r="V5" i="4"/>
  <c r="U21" i="12"/>
  <c r="C25" i="3" s="1"/>
  <c r="J25" i="12"/>
  <c r="J21" i="12"/>
  <c r="J29" i="12"/>
  <c r="J5" i="12"/>
  <c r="J12" i="12"/>
  <c r="J10" i="12"/>
  <c r="J2" i="12"/>
  <c r="J27" i="12"/>
  <c r="D9" i="12"/>
  <c r="D8" i="12"/>
  <c r="P14" i="12"/>
  <c r="E30" i="12"/>
  <c r="J30" i="12" s="1"/>
  <c r="E28" i="12"/>
  <c r="J28" i="12" s="1"/>
  <c r="E32" i="12"/>
  <c r="J32" i="12" s="1"/>
  <c r="E26" i="12"/>
  <c r="J26" i="12" s="1"/>
  <c r="E18" i="12"/>
  <c r="J18" i="12" s="1"/>
  <c r="E20" i="12"/>
  <c r="J20" i="12" s="1"/>
  <c r="E22" i="12"/>
  <c r="J22" i="12" s="1"/>
  <c r="E15" i="12"/>
  <c r="J15" i="12" s="1"/>
  <c r="E7" i="12"/>
  <c r="J7" i="12" s="1"/>
  <c r="E17" i="12"/>
  <c r="J17" i="12" s="1"/>
  <c r="E31" i="12"/>
  <c r="J31" i="12" s="1"/>
  <c r="E19" i="12"/>
  <c r="J19" i="12" s="1"/>
  <c r="E11" i="12"/>
  <c r="J11" i="12" s="1"/>
  <c r="E8" i="12"/>
  <c r="J8" i="12" s="1"/>
  <c r="E9" i="12"/>
  <c r="J9" i="12" s="1"/>
  <c r="AB48" i="8"/>
  <c r="AB44" i="8"/>
  <c r="AB40" i="8"/>
  <c r="P48" i="8"/>
  <c r="P44" i="8"/>
  <c r="E3" i="12"/>
  <c r="J3" i="12" s="1"/>
  <c r="P46" i="8"/>
  <c r="P42" i="8"/>
  <c r="AB34" i="8"/>
  <c r="AB30" i="8"/>
  <c r="AB26" i="8"/>
  <c r="AB22" i="8"/>
  <c r="AB18" i="8"/>
  <c r="AB12" i="8"/>
  <c r="P12" i="8"/>
  <c r="D12" i="8"/>
  <c r="E4" i="12"/>
  <c r="J4" i="12" s="1"/>
  <c r="D40" i="8"/>
  <c r="P34" i="8"/>
  <c r="P30" i="8"/>
  <c r="P26" i="8"/>
  <c r="P22" i="8"/>
  <c r="P18" i="8"/>
  <c r="D48" i="8"/>
  <c r="D44" i="8"/>
  <c r="P40" i="8"/>
  <c r="AB39" i="8"/>
  <c r="D34" i="8"/>
  <c r="D30" i="8"/>
  <c r="D26" i="8"/>
  <c r="D22" i="8"/>
  <c r="D18" i="8"/>
  <c r="AB11" i="8"/>
  <c r="D11" i="8"/>
  <c r="AB33" i="8"/>
  <c r="AB25" i="8"/>
  <c r="AB17" i="8"/>
  <c r="D42" i="8"/>
  <c r="P47" i="8"/>
  <c r="P43" i="8"/>
  <c r="P37" i="8"/>
  <c r="P29" i="8"/>
  <c r="P21" i="8"/>
  <c r="D47" i="8"/>
  <c r="D46" i="8"/>
  <c r="D43" i="8"/>
  <c r="AB29" i="8"/>
  <c r="AB21" i="8"/>
  <c r="P17" i="8"/>
  <c r="P33" i="8"/>
  <c r="P25" i="8"/>
  <c r="P11" i="8"/>
  <c r="AB28" i="8"/>
  <c r="P28" i="8"/>
  <c r="AB20" i="8"/>
  <c r="P20" i="8"/>
  <c r="D36" i="8"/>
  <c r="D28" i="8"/>
  <c r="P10" i="8"/>
  <c r="D41" i="8"/>
  <c r="AB16" i="8"/>
  <c r="P16" i="8"/>
  <c r="D32" i="8"/>
  <c r="D10" i="8"/>
  <c r="P36" i="8"/>
  <c r="AB41" i="8"/>
  <c r="D24" i="8"/>
  <c r="AB38" i="8"/>
  <c r="AB14" i="8"/>
  <c r="AB13" i="8"/>
  <c r="D20" i="8"/>
  <c r="AB36" i="8"/>
  <c r="P41" i="8"/>
  <c r="D16" i="8"/>
  <c r="AB32" i="8"/>
  <c r="P32" i="8"/>
  <c r="AB10" i="8"/>
  <c r="P14" i="8"/>
  <c r="D14" i="8"/>
  <c r="T67" i="9"/>
  <c r="Y67" i="9" s="1"/>
  <c r="AC67" i="9" s="1"/>
  <c r="C67" i="9" s="1"/>
  <c r="K67" i="9" s="1"/>
  <c r="T65" i="9"/>
  <c r="Y65" i="9" s="1"/>
  <c r="AC65" i="9" s="1"/>
  <c r="C65" i="9" s="1"/>
  <c r="K65" i="9" s="1"/>
  <c r="T63" i="9"/>
  <c r="Y63" i="9" s="1"/>
  <c r="AC63" i="9" s="1"/>
  <c r="C63" i="9" s="1"/>
  <c r="K63" i="9" s="1"/>
  <c r="T61" i="9"/>
  <c r="Y61" i="9" s="1"/>
  <c r="AC61" i="9" s="1"/>
  <c r="C61" i="9" s="1"/>
  <c r="K61" i="9" s="1"/>
  <c r="T66" i="9"/>
  <c r="Y66" i="9" s="1"/>
  <c r="AC66" i="9" s="1"/>
  <c r="C66" i="9" s="1"/>
  <c r="K66" i="9" s="1"/>
  <c r="T62" i="9"/>
  <c r="Y62" i="9" s="1"/>
  <c r="AC62" i="9" s="1"/>
  <c r="C62" i="9" s="1"/>
  <c r="K62" i="9" s="1"/>
  <c r="T59" i="9"/>
  <c r="Y59" i="9" s="1"/>
  <c r="AC59" i="9" s="1"/>
  <c r="C59" i="9" s="1"/>
  <c r="K59" i="9" s="1"/>
  <c r="T57" i="9"/>
  <c r="Y57" i="9" s="1"/>
  <c r="AC57" i="9" s="1"/>
  <c r="C57" i="9" s="1"/>
  <c r="K57" i="9" s="1"/>
  <c r="T55" i="9"/>
  <c r="Y55" i="9" s="1"/>
  <c r="AC55" i="9" s="1"/>
  <c r="C55" i="9" s="1"/>
  <c r="K55" i="9" s="1"/>
  <c r="T53" i="9"/>
  <c r="Y53" i="9" s="1"/>
  <c r="AC53" i="9" s="1"/>
  <c r="C53" i="9" s="1"/>
  <c r="K53" i="9" s="1"/>
  <c r="T51" i="9"/>
  <c r="Y51" i="9" s="1"/>
  <c r="AC51" i="9" s="1"/>
  <c r="C51" i="9" s="1"/>
  <c r="K51" i="9" s="1"/>
  <c r="T49" i="9"/>
  <c r="Y49" i="9" s="1"/>
  <c r="AC49" i="9" s="1"/>
  <c r="C49" i="9" s="1"/>
  <c r="K49" i="9" s="1"/>
  <c r="T47" i="9"/>
  <c r="Y47" i="9" s="1"/>
  <c r="AC47" i="9" s="1"/>
  <c r="C47" i="9" s="1"/>
  <c r="K47" i="9" s="1"/>
  <c r="T45" i="9"/>
  <c r="Y45" i="9" s="1"/>
  <c r="AC45" i="9" s="1"/>
  <c r="C45" i="9" s="1"/>
  <c r="K45" i="9" s="1"/>
  <c r="T43" i="9"/>
  <c r="Y43" i="9" s="1"/>
  <c r="AC43" i="9" s="1"/>
  <c r="C43" i="9" s="1"/>
  <c r="K43" i="9" s="1"/>
  <c r="T41" i="9"/>
  <c r="Y41" i="9" s="1"/>
  <c r="AC41" i="9" s="1"/>
  <c r="C41" i="9" s="1"/>
  <c r="K41" i="9" s="1"/>
  <c r="T39" i="9"/>
  <c r="Y39" i="9" s="1"/>
  <c r="AC39" i="9" s="1"/>
  <c r="C39" i="9" s="1"/>
  <c r="K39" i="9" s="1"/>
  <c r="T68" i="9"/>
  <c r="Y68" i="9" s="1"/>
  <c r="AC68" i="9" s="1"/>
  <c r="C68" i="9" s="1"/>
  <c r="K68" i="9" s="1"/>
  <c r="T64" i="9"/>
  <c r="Y64" i="9" s="1"/>
  <c r="AC64" i="9" s="1"/>
  <c r="C64" i="9" s="1"/>
  <c r="K64" i="9" s="1"/>
  <c r="T56" i="9"/>
  <c r="Y56" i="9" s="1"/>
  <c r="AC56" i="9" s="1"/>
  <c r="C56" i="9" s="1"/>
  <c r="K56" i="9" s="1"/>
  <c r="T52" i="9"/>
  <c r="Y52" i="9" s="1"/>
  <c r="AC52" i="9" s="1"/>
  <c r="C52" i="9" s="1"/>
  <c r="K52" i="9" s="1"/>
  <c r="T48" i="9"/>
  <c r="Y48" i="9" s="1"/>
  <c r="AC48" i="9" s="1"/>
  <c r="C48" i="9" s="1"/>
  <c r="K48" i="9" s="1"/>
  <c r="T44" i="9"/>
  <c r="Y44" i="9" s="1"/>
  <c r="AC44" i="9" s="1"/>
  <c r="C44" i="9" s="1"/>
  <c r="K44" i="9" s="1"/>
  <c r="T40" i="9"/>
  <c r="Y40" i="9" s="1"/>
  <c r="AC40" i="9" s="1"/>
  <c r="C40" i="9" s="1"/>
  <c r="K40" i="9" s="1"/>
  <c r="T50" i="9"/>
  <c r="Y50" i="9" s="1"/>
  <c r="AC50" i="9" s="1"/>
  <c r="C50" i="9" s="1"/>
  <c r="K50" i="9" s="1"/>
  <c r="T42" i="9"/>
  <c r="Y42" i="9" s="1"/>
  <c r="AC42" i="9" s="1"/>
  <c r="C42" i="9" s="1"/>
  <c r="K42" i="9" s="1"/>
  <c r="T60" i="9"/>
  <c r="Y60" i="9" s="1"/>
  <c r="AC60" i="9" s="1"/>
  <c r="C60" i="9" s="1"/>
  <c r="K60" i="9" s="1"/>
  <c r="T58" i="9"/>
  <c r="Y58" i="9" s="1"/>
  <c r="AC58" i="9" s="1"/>
  <c r="C58" i="9" s="1"/>
  <c r="K58" i="9" s="1"/>
  <c r="T46" i="9"/>
  <c r="Y46" i="9" s="1"/>
  <c r="AC46" i="9" s="1"/>
  <c r="C46" i="9" s="1"/>
  <c r="K46" i="9" s="1"/>
  <c r="T54" i="9"/>
  <c r="Y54" i="9" s="1"/>
  <c r="AC54" i="9" s="1"/>
  <c r="C54" i="9" s="1"/>
  <c r="K54" i="9" s="1"/>
  <c r="AC46" i="8"/>
  <c r="AC30" i="8"/>
  <c r="E30" i="8"/>
  <c r="Q22" i="8"/>
  <c r="F5" i="12"/>
  <c r="K5" i="12" s="1"/>
  <c r="AB43" i="8"/>
  <c r="Q42" i="8"/>
  <c r="O42" i="8"/>
  <c r="AB67" i="9"/>
  <c r="AB65" i="9"/>
  <c r="AB63" i="9"/>
  <c r="AB61" i="9"/>
  <c r="AB59" i="9"/>
  <c r="AB68" i="9"/>
  <c r="AB64" i="9"/>
  <c r="AB60" i="9"/>
  <c r="AB57" i="9"/>
  <c r="AB55" i="9"/>
  <c r="AB53" i="9"/>
  <c r="AB51" i="9"/>
  <c r="AB49" i="9"/>
  <c r="AB47" i="9"/>
  <c r="AB45" i="9"/>
  <c r="AB43" i="9"/>
  <c r="AB41" i="9"/>
  <c r="AB39" i="9"/>
  <c r="AB54" i="9"/>
  <c r="AB50" i="9"/>
  <c r="AB46" i="9"/>
  <c r="AB42" i="9"/>
  <c r="AB52" i="9"/>
  <c r="AB44" i="9"/>
  <c r="AB56" i="9"/>
  <c r="AB66" i="9"/>
  <c r="AB62" i="9"/>
  <c r="AB40" i="9"/>
  <c r="AB58" i="9"/>
  <c r="AB48" i="9"/>
  <c r="Q39" i="8"/>
  <c r="AC12" i="8"/>
  <c r="E12" i="8"/>
  <c r="AC11" i="8"/>
  <c r="E11" i="8"/>
  <c r="D38" i="8"/>
  <c r="E38" i="8"/>
  <c r="C38" i="8"/>
  <c r="G38" i="8" s="1"/>
  <c r="K38" i="8" s="1"/>
  <c r="AA38" i="8"/>
  <c r="C37" i="8"/>
  <c r="G37" i="8" s="1"/>
  <c r="K37" i="8" s="1"/>
  <c r="O37" i="8"/>
  <c r="D33" i="8"/>
  <c r="AC29" i="8"/>
  <c r="D25" i="8"/>
  <c r="AC21" i="8"/>
  <c r="D17" i="8"/>
  <c r="E23" i="12"/>
  <c r="J23" i="12" s="1"/>
  <c r="D13" i="8"/>
  <c r="D9" i="8"/>
  <c r="AC14" i="8"/>
  <c r="D31" i="12"/>
  <c r="D26" i="12"/>
  <c r="I26" i="12" s="1"/>
  <c r="D22" i="12"/>
  <c r="I22" i="12" s="1"/>
  <c r="D18" i="12"/>
  <c r="I18" i="12" s="1"/>
  <c r="D7" i="12"/>
  <c r="D3" i="12"/>
  <c r="I3" i="12" s="1"/>
  <c r="D30" i="12"/>
  <c r="I30" i="12" s="1"/>
  <c r="D21" i="12"/>
  <c r="D14" i="12"/>
  <c r="D11" i="12"/>
  <c r="D6" i="12"/>
  <c r="I6" i="12" s="1"/>
  <c r="M6" i="12" s="1"/>
  <c r="Q6" i="12" s="1"/>
  <c r="D12" i="12"/>
  <c r="I12" i="12" s="1"/>
  <c r="M12" i="12" s="1"/>
  <c r="Q12" i="12" s="1"/>
  <c r="D17" i="12"/>
  <c r="AA48" i="8"/>
  <c r="AA44" i="8"/>
  <c r="D4" i="12"/>
  <c r="C48" i="8"/>
  <c r="O45" i="8"/>
  <c r="C44" i="8"/>
  <c r="O40" i="8"/>
  <c r="C34" i="8"/>
  <c r="C30" i="8"/>
  <c r="C26" i="8"/>
  <c r="C22" i="8"/>
  <c r="C18" i="8"/>
  <c r="D29" i="12"/>
  <c r="I29" i="12" s="1"/>
  <c r="M29" i="12" s="1"/>
  <c r="Q29" i="12" s="1"/>
  <c r="C45" i="8"/>
  <c r="G45" i="8" s="1"/>
  <c r="K45" i="8" s="1"/>
  <c r="AA40" i="8"/>
  <c r="O47" i="8"/>
  <c r="O43" i="8"/>
  <c r="AA34" i="8"/>
  <c r="AA30" i="8"/>
  <c r="AA26" i="8"/>
  <c r="AA22" i="8"/>
  <c r="AA18" i="8"/>
  <c r="O12" i="8"/>
  <c r="O11" i="8"/>
  <c r="D25" i="12"/>
  <c r="AA47" i="8"/>
  <c r="AE47" i="8" s="1"/>
  <c r="AI47" i="8" s="1"/>
  <c r="AA43" i="8"/>
  <c r="AE43" i="8" s="1"/>
  <c r="AI43" i="8" s="1"/>
  <c r="C40" i="8"/>
  <c r="O39" i="8"/>
  <c r="S39" i="8" s="1"/>
  <c r="W39" i="8" s="1"/>
  <c r="O34" i="8"/>
  <c r="O30" i="8"/>
  <c r="O26" i="8"/>
  <c r="O22" i="8"/>
  <c r="O18" i="8"/>
  <c r="D16" i="12"/>
  <c r="O35" i="8"/>
  <c r="O27" i="8"/>
  <c r="O19" i="8"/>
  <c r="S19" i="8" s="1"/>
  <c r="AA11" i="8"/>
  <c r="AE11" i="8" s="1"/>
  <c r="AI11" i="8" s="1"/>
  <c r="O31" i="8"/>
  <c r="O15" i="8"/>
  <c r="C11" i="8"/>
  <c r="G11" i="8" s="1"/>
  <c r="K11" i="8" s="1"/>
  <c r="O48" i="8"/>
  <c r="O44" i="8"/>
  <c r="AA35" i="8"/>
  <c r="AA33" i="8"/>
  <c r="AA27" i="8"/>
  <c r="AA25" i="8"/>
  <c r="AA19" i="8"/>
  <c r="AA17" i="8"/>
  <c r="AA12" i="8"/>
  <c r="AA39" i="8"/>
  <c r="O23" i="8"/>
  <c r="AA23" i="8"/>
  <c r="C12" i="8"/>
  <c r="AA21" i="8"/>
  <c r="AA29" i="8"/>
  <c r="AE29" i="8" s="1"/>
  <c r="AI29" i="8" s="1"/>
  <c r="AA15" i="8"/>
  <c r="AA31" i="8"/>
  <c r="O28" i="8"/>
  <c r="O20" i="8"/>
  <c r="AA36" i="8"/>
  <c r="AE36" i="8" s="1"/>
  <c r="C36" i="8"/>
  <c r="G36" i="8" s="1"/>
  <c r="K36" i="8" s="1"/>
  <c r="AA28" i="8"/>
  <c r="C28" i="8"/>
  <c r="AA20" i="8"/>
  <c r="O16" i="8"/>
  <c r="S16" i="8" s="1"/>
  <c r="W16" i="8" s="1"/>
  <c r="AA32" i="8"/>
  <c r="C32" i="8"/>
  <c r="G32" i="8" s="1"/>
  <c r="K32" i="8" s="1"/>
  <c r="O10" i="8"/>
  <c r="S10" i="8" s="1"/>
  <c r="W10" i="8" s="1"/>
  <c r="C20" i="8"/>
  <c r="AA41" i="8"/>
  <c r="C41" i="8"/>
  <c r="AA24" i="8"/>
  <c r="AE24" i="8" s="1"/>
  <c r="AI24" i="8" s="1"/>
  <c r="C24" i="8"/>
  <c r="G24" i="8" s="1"/>
  <c r="K24" i="8" s="1"/>
  <c r="AA14" i="8"/>
  <c r="O14" i="8"/>
  <c r="S14" i="8" s="1"/>
  <c r="W14" i="8" s="1"/>
  <c r="O36" i="8"/>
  <c r="S36" i="8" s="1"/>
  <c r="W36" i="8" s="1"/>
  <c r="AA16" i="8"/>
  <c r="C16" i="8"/>
  <c r="O32" i="8"/>
  <c r="AA10" i="8"/>
  <c r="AE10" i="8" s="1"/>
  <c r="AI10" i="8" s="1"/>
  <c r="C10" i="8"/>
  <c r="G10" i="8" s="1"/>
  <c r="K10" i="8" s="1"/>
  <c r="P27" i="12"/>
  <c r="P6" i="12"/>
  <c r="D10" i="12"/>
  <c r="F18" i="12"/>
  <c r="K18" i="12" s="1"/>
  <c r="F11" i="12"/>
  <c r="K11" i="12" s="1"/>
  <c r="F24" i="12"/>
  <c r="K24" i="12" s="1"/>
  <c r="F21" i="12"/>
  <c r="K21" i="12" s="1"/>
  <c r="AC48" i="8"/>
  <c r="E48" i="8"/>
  <c r="Q40" i="8"/>
  <c r="F27" i="12"/>
  <c r="K27" i="12" s="1"/>
  <c r="E24" i="12"/>
  <c r="J24" i="12" s="1"/>
  <c r="E16" i="12"/>
  <c r="J16" i="12" s="1"/>
  <c r="E14" i="12"/>
  <c r="J14" i="12" s="1"/>
  <c r="P8" i="12"/>
  <c r="E6" i="12"/>
  <c r="J6" i="12" s="1"/>
  <c r="P12" i="12"/>
  <c r="K30" i="12"/>
  <c r="K32" i="12"/>
  <c r="K29" i="12"/>
  <c r="K26" i="12"/>
  <c r="K16" i="12"/>
  <c r="K12" i="12"/>
  <c r="K4" i="12"/>
  <c r="K10" i="12"/>
  <c r="K7" i="12"/>
  <c r="K2" i="12"/>
  <c r="K22" i="12"/>
  <c r="K17" i="12"/>
  <c r="K3" i="12"/>
  <c r="E13" i="12"/>
  <c r="J13" i="12" s="1"/>
  <c r="AC45" i="8"/>
  <c r="C43" i="8"/>
  <c r="G43" i="8" s="1"/>
  <c r="K43" i="8" s="1"/>
  <c r="Q34" i="8"/>
  <c r="AC26" i="8"/>
  <c r="E26" i="8"/>
  <c r="Q18" i="8"/>
  <c r="P5" i="12"/>
  <c r="D5" i="12"/>
  <c r="I5" i="12" s="1"/>
  <c r="M5" i="12" s="1"/>
  <c r="Q5" i="12" s="1"/>
  <c r="AB47" i="8"/>
  <c r="Q46" i="8"/>
  <c r="O46" i="8"/>
  <c r="AA45" i="8"/>
  <c r="D45" i="8"/>
  <c r="AB45" i="8"/>
  <c r="C33" i="9"/>
  <c r="P39" i="8"/>
  <c r="AC39" i="8"/>
  <c r="AA37" i="8"/>
  <c r="AC35" i="8"/>
  <c r="P35" i="8"/>
  <c r="O33" i="8"/>
  <c r="S33" i="8" s="1"/>
  <c r="W33" i="8" s="1"/>
  <c r="C31" i="8"/>
  <c r="G31" i="8" s="1"/>
  <c r="K31" i="8" s="1"/>
  <c r="D31" i="8"/>
  <c r="AB31" i="8"/>
  <c r="C29" i="8"/>
  <c r="G29" i="8" s="1"/>
  <c r="K29" i="8" s="1"/>
  <c r="AC27" i="8"/>
  <c r="P27" i="8"/>
  <c r="O25" i="8"/>
  <c r="C23" i="8"/>
  <c r="D23" i="8"/>
  <c r="AB23" i="8"/>
  <c r="C21" i="8"/>
  <c r="AC19" i="8"/>
  <c r="P19" i="8"/>
  <c r="O17" i="8"/>
  <c r="S17" i="8" s="1"/>
  <c r="W17" i="8" s="1"/>
  <c r="C15" i="8"/>
  <c r="G15" i="8" s="1"/>
  <c r="D15" i="8"/>
  <c r="AB15" i="8"/>
  <c r="P23" i="12"/>
  <c r="Q13" i="8"/>
  <c r="O9" i="8"/>
  <c r="P9" i="8"/>
  <c r="C14" i="8"/>
  <c r="G14" i="8" s="1"/>
  <c r="K14" i="8" s="1"/>
  <c r="Q32" i="8"/>
  <c r="AB24" i="8"/>
  <c r="E41" i="8"/>
  <c r="Q41" i="8"/>
  <c r="Z68" i="9"/>
  <c r="AD68" i="9" s="1"/>
  <c r="D68" i="9" s="1"/>
  <c r="L68" i="9" s="1"/>
  <c r="Z66" i="9"/>
  <c r="AD66" i="9" s="1"/>
  <c r="D66" i="9" s="1"/>
  <c r="L66" i="9" s="1"/>
  <c r="Z64" i="9"/>
  <c r="AD64" i="9" s="1"/>
  <c r="D64" i="9" s="1"/>
  <c r="L64" i="9" s="1"/>
  <c r="Z62" i="9"/>
  <c r="AD62" i="9" s="1"/>
  <c r="D62" i="9" s="1"/>
  <c r="L62" i="9" s="1"/>
  <c r="Z60" i="9"/>
  <c r="AD60" i="9" s="1"/>
  <c r="D60" i="9" s="1"/>
  <c r="L60" i="9" s="1"/>
  <c r="Z65" i="9"/>
  <c r="AD65" i="9" s="1"/>
  <c r="D65" i="9" s="1"/>
  <c r="L65" i="9" s="1"/>
  <c r="Z61" i="9"/>
  <c r="Z58" i="9"/>
  <c r="Z56" i="9"/>
  <c r="Z54" i="9"/>
  <c r="AD54" i="9" s="1"/>
  <c r="D54" i="9" s="1"/>
  <c r="L54" i="9" s="1"/>
  <c r="Z52" i="9"/>
  <c r="AD52" i="9" s="1"/>
  <c r="D52" i="9" s="1"/>
  <c r="L52" i="9" s="1"/>
  <c r="Z50" i="9"/>
  <c r="AD50" i="9" s="1"/>
  <c r="D50" i="9" s="1"/>
  <c r="L50" i="9" s="1"/>
  <c r="Z48" i="9"/>
  <c r="AD48" i="9" s="1"/>
  <c r="D48" i="9" s="1"/>
  <c r="L48" i="9" s="1"/>
  <c r="Z46" i="9"/>
  <c r="AD46" i="9" s="1"/>
  <c r="D46" i="9" s="1"/>
  <c r="L46" i="9" s="1"/>
  <c r="Z44" i="9"/>
  <c r="AD44" i="9" s="1"/>
  <c r="D44" i="9" s="1"/>
  <c r="L44" i="9" s="1"/>
  <c r="Z42" i="9"/>
  <c r="AD42" i="9" s="1"/>
  <c r="D42" i="9" s="1"/>
  <c r="L42" i="9" s="1"/>
  <c r="Z40" i="9"/>
  <c r="Z57" i="9"/>
  <c r="AD57" i="9" s="1"/>
  <c r="D57" i="9" s="1"/>
  <c r="L57" i="9" s="1"/>
  <c r="Z55" i="9"/>
  <c r="AD55" i="9" s="1"/>
  <c r="D55" i="9" s="1"/>
  <c r="L55" i="9" s="1"/>
  <c r="Z51" i="9"/>
  <c r="AD51" i="9" s="1"/>
  <c r="D51" i="9" s="1"/>
  <c r="L51" i="9" s="1"/>
  <c r="Z47" i="9"/>
  <c r="AD47" i="9" s="1"/>
  <c r="D47" i="9" s="1"/>
  <c r="L47" i="9" s="1"/>
  <c r="Z43" i="9"/>
  <c r="AD43" i="9" s="1"/>
  <c r="D43" i="9" s="1"/>
  <c r="L43" i="9" s="1"/>
  <c r="Z39" i="9"/>
  <c r="AD39" i="9" s="1"/>
  <c r="D39" i="9" s="1"/>
  <c r="L39" i="9" s="1"/>
  <c r="Z59" i="9"/>
  <c r="AD59" i="9" s="1"/>
  <c r="D59" i="9" s="1"/>
  <c r="L59" i="9" s="1"/>
  <c r="Z53" i="9"/>
  <c r="AD53" i="9" s="1"/>
  <c r="D53" i="9" s="1"/>
  <c r="L53" i="9" s="1"/>
  <c r="Z45" i="9"/>
  <c r="AD45" i="9" s="1"/>
  <c r="D45" i="9" s="1"/>
  <c r="L45" i="9" s="1"/>
  <c r="Z67" i="9"/>
  <c r="AD67" i="9" s="1"/>
  <c r="D67" i="9" s="1"/>
  <c r="L67" i="9" s="1"/>
  <c r="Z41" i="9"/>
  <c r="Z49" i="9"/>
  <c r="Z63" i="9"/>
  <c r="AD63" i="9" s="1"/>
  <c r="D63" i="9" s="1"/>
  <c r="L63" i="9" s="1"/>
  <c r="P31" i="12"/>
  <c r="P19" i="12"/>
  <c r="P4" i="12"/>
  <c r="P13" i="12"/>
  <c r="F31" i="12"/>
  <c r="K31" i="12" s="1"/>
  <c r="F20" i="12"/>
  <c r="K20" i="12" s="1"/>
  <c r="F28" i="12"/>
  <c r="K28" i="12" s="1"/>
  <c r="F25" i="12"/>
  <c r="K25" i="12" s="1"/>
  <c r="F9" i="12"/>
  <c r="K9" i="12" s="1"/>
  <c r="F14" i="12"/>
  <c r="K14" i="12" s="1"/>
  <c r="F8" i="12"/>
  <c r="K8" i="12" s="1"/>
  <c r="F6" i="12"/>
  <c r="K6" i="12" s="1"/>
  <c r="F15" i="12"/>
  <c r="K15" i="12" s="1"/>
  <c r="E45" i="8"/>
  <c r="F19" i="12"/>
  <c r="K19" i="12" s="1"/>
  <c r="F13" i="12"/>
  <c r="K13" i="12" s="1"/>
  <c r="E46" i="8"/>
  <c r="E42" i="8"/>
  <c r="E39" i="8"/>
  <c r="E47" i="8"/>
  <c r="E43" i="8"/>
  <c r="Q37" i="8"/>
  <c r="E31" i="8"/>
  <c r="Q29" i="8"/>
  <c r="E23" i="8"/>
  <c r="Q21" i="8"/>
  <c r="E15" i="8"/>
  <c r="E35" i="8"/>
  <c r="E27" i="8"/>
  <c r="Q25" i="8"/>
  <c r="Q17" i="8"/>
  <c r="E33" i="8"/>
  <c r="Q31" i="8"/>
  <c r="E25" i="8"/>
  <c r="Q23" i="8"/>
  <c r="E17" i="8"/>
  <c r="Q15" i="8"/>
  <c r="E13" i="8"/>
  <c r="E9" i="8"/>
  <c r="Q33" i="8"/>
  <c r="E19" i="8"/>
  <c r="AC9" i="8"/>
  <c r="E29" i="8"/>
  <c r="E21" i="8"/>
  <c r="AC13" i="8"/>
  <c r="E37" i="8"/>
  <c r="Q35" i="8"/>
  <c r="Q27" i="8"/>
  <c r="Q19" i="8"/>
  <c r="AC28" i="8"/>
  <c r="AC20" i="8"/>
  <c r="Q28" i="8"/>
  <c r="E28" i="8"/>
  <c r="Q20" i="8"/>
  <c r="E20" i="8"/>
  <c r="AC16" i="8"/>
  <c r="Q24" i="8"/>
  <c r="E24" i="8"/>
  <c r="E10" i="8"/>
  <c r="AC41" i="8"/>
  <c r="Q16" i="8"/>
  <c r="E16" i="8"/>
  <c r="Q10" i="8"/>
  <c r="Q14" i="8"/>
  <c r="Q9" i="8"/>
  <c r="E36" i="8"/>
  <c r="AC32" i="8"/>
  <c r="AC10" i="8"/>
  <c r="C47" i="8"/>
  <c r="G47" i="8" s="1"/>
  <c r="K47" i="8" s="1"/>
  <c r="AC43" i="8"/>
  <c r="Q30" i="8"/>
  <c r="AC22" i="8"/>
  <c r="E22" i="8"/>
  <c r="Q43" i="8"/>
  <c r="AB42" i="8"/>
  <c r="C42" i="8"/>
  <c r="G42" i="8" s="1"/>
  <c r="AA42" i="8"/>
  <c r="AE42" i="8" s="1"/>
  <c r="AI42" i="8" s="1"/>
  <c r="D39" i="8"/>
  <c r="Q12" i="8"/>
  <c r="C39" i="8"/>
  <c r="G39" i="8" s="1"/>
  <c r="K39" i="8" s="1"/>
  <c r="Q11" i="8"/>
  <c r="Q38" i="8"/>
  <c r="AC38" i="8"/>
  <c r="O38" i="8"/>
  <c r="AB37" i="8"/>
  <c r="AC33" i="8"/>
  <c r="D29" i="8"/>
  <c r="AC25" i="8"/>
  <c r="D21" i="8"/>
  <c r="H21" i="8" s="1"/>
  <c r="L21" i="8" s="1"/>
  <c r="AC17" i="8"/>
  <c r="D23" i="12"/>
  <c r="F23" i="12"/>
  <c r="K23" i="12" s="1"/>
  <c r="C13" i="8"/>
  <c r="AA13" i="8"/>
  <c r="P13" i="8"/>
  <c r="AA9" i="8"/>
  <c r="O24" i="8"/>
  <c r="S24" i="8" s="1"/>
  <c r="W24" i="8" s="1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P2" i="12"/>
  <c r="C5" i="4" s="1"/>
  <c r="N20" i="8"/>
  <c r="R20" i="8" s="1"/>
  <c r="V20" i="8" s="1"/>
  <c r="I25" i="12"/>
  <c r="M25" i="12" s="1"/>
  <c r="Q25" i="12" s="1"/>
  <c r="I21" i="12"/>
  <c r="M21" i="12" s="1"/>
  <c r="Q21" i="12" s="1"/>
  <c r="I31" i="12"/>
  <c r="M31" i="12" s="1"/>
  <c r="Q31" i="12" s="1"/>
  <c r="I27" i="12"/>
  <c r="M27" i="12" s="1"/>
  <c r="Q27" i="12" s="1"/>
  <c r="I19" i="12"/>
  <c r="M19" i="12" s="1"/>
  <c r="Q19" i="12" s="1"/>
  <c r="I16" i="12"/>
  <c r="M16" i="12" s="1"/>
  <c r="Q16" i="12" s="1"/>
  <c r="I14" i="12"/>
  <c r="M14" i="12" s="1"/>
  <c r="Q14" i="12" s="1"/>
  <c r="I10" i="12"/>
  <c r="I2" i="12"/>
  <c r="M2" i="12" s="1"/>
  <c r="Q2" i="12" s="1"/>
  <c r="C5" i="5" s="1"/>
  <c r="I28" i="12"/>
  <c r="I23" i="12"/>
  <c r="M23" i="12" s="1"/>
  <c r="Q23" i="12" s="1"/>
  <c r="I8" i="12"/>
  <c r="M8" i="12" s="1"/>
  <c r="Q8" i="12" s="1"/>
  <c r="G46" i="8"/>
  <c r="K46" i="8" s="1"/>
  <c r="AE38" i="8"/>
  <c r="AI38" i="8" s="1"/>
  <c r="S38" i="8"/>
  <c r="W38" i="8" s="1"/>
  <c r="I32" i="12"/>
  <c r="I13" i="12"/>
  <c r="M13" i="12" s="1"/>
  <c r="Q13" i="12" s="1"/>
  <c r="I7" i="12"/>
  <c r="I15" i="12"/>
  <c r="I4" i="12"/>
  <c r="M4" i="12" s="1"/>
  <c r="Q4" i="12" s="1"/>
  <c r="I17" i="12"/>
  <c r="I20" i="12"/>
  <c r="I11" i="12"/>
  <c r="S47" i="8"/>
  <c r="W47" i="8" s="1"/>
  <c r="S43" i="8"/>
  <c r="W43" i="8" s="1"/>
  <c r="G41" i="8"/>
  <c r="K41" i="8" s="1"/>
  <c r="AE32" i="8"/>
  <c r="AI32" i="8" s="1"/>
  <c r="S32" i="8"/>
  <c r="W32" i="8" s="1"/>
  <c r="AE28" i="8"/>
  <c r="AI28" i="8" s="1"/>
  <c r="S28" i="8"/>
  <c r="W28" i="8" s="1"/>
  <c r="G28" i="8"/>
  <c r="K28" i="8" s="1"/>
  <c r="S20" i="8"/>
  <c r="W20" i="8" s="1"/>
  <c r="AE16" i="8"/>
  <c r="AI16" i="8" s="1"/>
  <c r="G16" i="8"/>
  <c r="K16" i="8" s="1"/>
  <c r="I24" i="12"/>
  <c r="M24" i="12" s="1"/>
  <c r="Q24" i="12" s="1"/>
  <c r="S35" i="8"/>
  <c r="W35" i="8" s="1"/>
  <c r="AE33" i="8"/>
  <c r="AI33" i="8" s="1"/>
  <c r="S31" i="8"/>
  <c r="W31" i="8" s="1"/>
  <c r="S27" i="8"/>
  <c r="W27" i="8" s="1"/>
  <c r="AE25" i="8"/>
  <c r="AI25" i="8" s="1"/>
  <c r="S23" i="8"/>
  <c r="W23" i="8" s="1"/>
  <c r="AE21" i="8"/>
  <c r="AI21" i="8" s="1"/>
  <c r="AE17" i="8"/>
  <c r="AI17" i="8" s="1"/>
  <c r="S15" i="8"/>
  <c r="W15" i="8" s="1"/>
  <c r="AE39" i="8"/>
  <c r="AI39" i="8" s="1"/>
  <c r="S37" i="8"/>
  <c r="W37" i="8" s="1"/>
  <c r="G35" i="8"/>
  <c r="K35" i="8" s="1"/>
  <c r="S29" i="8"/>
  <c r="W29" i="8" s="1"/>
  <c r="G27" i="8"/>
  <c r="K27" i="8" s="1"/>
  <c r="S25" i="8"/>
  <c r="W25" i="8" s="1"/>
  <c r="G23" i="8"/>
  <c r="K23" i="8" s="1"/>
  <c r="S21" i="8"/>
  <c r="W21" i="8" s="1"/>
  <c r="G19" i="8"/>
  <c r="K19" i="8" s="1"/>
  <c r="AE41" i="8"/>
  <c r="AI41" i="8" s="1"/>
  <c r="AE35" i="8"/>
  <c r="AI35" i="8" s="1"/>
  <c r="AE8" i="8"/>
  <c r="AF8" i="8" s="1"/>
  <c r="AG8" i="8" s="1"/>
  <c r="S8" i="8"/>
  <c r="T8" i="8" s="1"/>
  <c r="U8" i="8" s="1"/>
  <c r="G8" i="8"/>
  <c r="H8" i="8" s="1"/>
  <c r="I8" i="8" s="1"/>
  <c r="G33" i="8"/>
  <c r="K33" i="8" s="1"/>
  <c r="G25" i="8"/>
  <c r="K25" i="8" s="1"/>
  <c r="G17" i="8"/>
  <c r="K17" i="8" s="1"/>
  <c r="AE37" i="8"/>
  <c r="AI37" i="8" s="1"/>
  <c r="G21" i="8"/>
  <c r="K21" i="8" s="1"/>
  <c r="S41" i="8"/>
  <c r="W41" i="8" s="1"/>
  <c r="I9" i="12"/>
  <c r="S11" i="8"/>
  <c r="W11" i="8" s="1"/>
  <c r="AE14" i="8"/>
  <c r="AI14" i="8" s="1"/>
  <c r="C26" i="12"/>
  <c r="H26" i="12" s="1"/>
  <c r="L26" i="12" s="1"/>
  <c r="P26" i="12" s="1"/>
  <c r="C30" i="12"/>
  <c r="H30" i="12" s="1"/>
  <c r="L30" i="12" s="1"/>
  <c r="P30" i="12" s="1"/>
  <c r="C22" i="12"/>
  <c r="H22" i="12" s="1"/>
  <c r="L22" i="12" s="1"/>
  <c r="P22" i="12" s="1"/>
  <c r="C28" i="12"/>
  <c r="H28" i="12" s="1"/>
  <c r="L28" i="12" s="1"/>
  <c r="P28" i="12" s="1"/>
  <c r="C18" i="12"/>
  <c r="H18" i="12" s="1"/>
  <c r="L18" i="12" s="1"/>
  <c r="P18" i="12" s="1"/>
  <c r="C17" i="12"/>
  <c r="H17" i="12" s="1"/>
  <c r="L17" i="12" s="1"/>
  <c r="P17" i="12" s="1"/>
  <c r="C11" i="12"/>
  <c r="H11" i="12" s="1"/>
  <c r="L11" i="12" s="1"/>
  <c r="P11" i="12" s="1"/>
  <c r="C3" i="12"/>
  <c r="H3" i="12" s="1"/>
  <c r="L3" i="12" s="1"/>
  <c r="P3" i="12" s="1"/>
  <c r="C20" i="12"/>
  <c r="H20" i="12" s="1"/>
  <c r="L20" i="12" s="1"/>
  <c r="P20" i="12" s="1"/>
  <c r="C15" i="12"/>
  <c r="H15" i="12" s="1"/>
  <c r="L15" i="12" s="1"/>
  <c r="P15" i="12" s="1"/>
  <c r="C32" i="12"/>
  <c r="H32" i="12" s="1"/>
  <c r="L32" i="12" s="1"/>
  <c r="P32" i="12" s="1"/>
  <c r="C9" i="12"/>
  <c r="H9" i="12" s="1"/>
  <c r="L9" i="12" s="1"/>
  <c r="P9" i="12" s="1"/>
  <c r="C7" i="12"/>
  <c r="H7" i="12" s="1"/>
  <c r="L7" i="12" s="1"/>
  <c r="P7" i="12" s="1"/>
  <c r="B48" i="8"/>
  <c r="F48" i="8" s="1"/>
  <c r="J48" i="8" s="1"/>
  <c r="B44" i="8"/>
  <c r="F44" i="8" s="1"/>
  <c r="J44" i="8" s="1"/>
  <c r="B40" i="8"/>
  <c r="F40" i="8" s="1"/>
  <c r="J40" i="8" s="1"/>
  <c r="C10" i="12"/>
  <c r="H10" i="12" s="1"/>
  <c r="L10" i="12" s="1"/>
  <c r="P10" i="12" s="1"/>
  <c r="N48" i="8"/>
  <c r="R48" i="8" s="1"/>
  <c r="V48" i="8" s="1"/>
  <c r="Z45" i="8"/>
  <c r="AD45" i="8" s="1"/>
  <c r="AH45" i="8" s="1"/>
  <c r="N44" i="8"/>
  <c r="R44" i="8" s="1"/>
  <c r="V44" i="8" s="1"/>
  <c r="N34" i="8"/>
  <c r="R34" i="8" s="1"/>
  <c r="V34" i="8" s="1"/>
  <c r="N30" i="8"/>
  <c r="R30" i="8" s="1"/>
  <c r="V30" i="8" s="1"/>
  <c r="N26" i="8"/>
  <c r="R26" i="8" s="1"/>
  <c r="V26" i="8" s="1"/>
  <c r="N22" i="8"/>
  <c r="R22" i="8" s="1"/>
  <c r="V22" i="8" s="1"/>
  <c r="N18" i="8"/>
  <c r="R18" i="8" s="1"/>
  <c r="V18" i="8" s="1"/>
  <c r="Z46" i="8"/>
  <c r="AD46" i="8" s="1"/>
  <c r="AH46" i="8" s="1"/>
  <c r="N45" i="8"/>
  <c r="R45" i="8" s="1"/>
  <c r="V45" i="8" s="1"/>
  <c r="Z42" i="8"/>
  <c r="AD42" i="8" s="1"/>
  <c r="AH42" i="8" s="1"/>
  <c r="N40" i="8"/>
  <c r="R40" i="8" s="1"/>
  <c r="V40" i="8" s="1"/>
  <c r="B34" i="8"/>
  <c r="F34" i="8" s="1"/>
  <c r="J34" i="8" s="1"/>
  <c r="B30" i="8"/>
  <c r="F30" i="8" s="1"/>
  <c r="J30" i="8" s="1"/>
  <c r="B26" i="8"/>
  <c r="F26" i="8" s="1"/>
  <c r="J26" i="8" s="1"/>
  <c r="B22" i="8"/>
  <c r="F22" i="8" s="1"/>
  <c r="J22" i="8" s="1"/>
  <c r="B18" i="8"/>
  <c r="F18" i="8" s="1"/>
  <c r="J18" i="8" s="1"/>
  <c r="N46" i="8"/>
  <c r="R46" i="8" s="1"/>
  <c r="V46" i="8" s="1"/>
  <c r="N42" i="8"/>
  <c r="R42" i="8" s="1"/>
  <c r="V42" i="8" s="1"/>
  <c r="Z13" i="8"/>
  <c r="AD13" i="8" s="1"/>
  <c r="AH13" i="8" s="1"/>
  <c r="B13" i="8"/>
  <c r="F13" i="8" s="1"/>
  <c r="J13" i="8" s="1"/>
  <c r="Z9" i="8"/>
  <c r="AD9" i="8" s="1"/>
  <c r="AH9" i="8" s="1"/>
  <c r="B9" i="8"/>
  <c r="F9" i="8" s="1"/>
  <c r="J9" i="8" s="1"/>
  <c r="Z48" i="8"/>
  <c r="AD48" i="8" s="1"/>
  <c r="AH48" i="8" s="1"/>
  <c r="Z44" i="8"/>
  <c r="AD44" i="8" s="1"/>
  <c r="AH44" i="8" s="1"/>
  <c r="Z34" i="8"/>
  <c r="AD34" i="8" s="1"/>
  <c r="AH34" i="8" s="1"/>
  <c r="Z30" i="8"/>
  <c r="AD30" i="8" s="1"/>
  <c r="AH30" i="8" s="1"/>
  <c r="Z26" i="8"/>
  <c r="AD26" i="8" s="1"/>
  <c r="AH26" i="8" s="1"/>
  <c r="Z22" i="8"/>
  <c r="AD22" i="8" s="1"/>
  <c r="AH22" i="8" s="1"/>
  <c r="Z18" i="8"/>
  <c r="AD18" i="8" s="1"/>
  <c r="AH18" i="8" s="1"/>
  <c r="N12" i="8"/>
  <c r="R12" i="8" s="1"/>
  <c r="V12" i="8" s="1"/>
  <c r="Z40" i="8"/>
  <c r="AD40" i="8" s="1"/>
  <c r="AH40" i="8" s="1"/>
  <c r="Z31" i="8"/>
  <c r="AD31" i="8" s="1"/>
  <c r="AH31" i="8" s="1"/>
  <c r="Z23" i="8"/>
  <c r="AD23" i="8" s="1"/>
  <c r="AH23" i="8" s="1"/>
  <c r="Z15" i="8"/>
  <c r="AD15" i="8" s="1"/>
  <c r="AH15" i="8" s="1"/>
  <c r="B12" i="8"/>
  <c r="F12" i="8" s="1"/>
  <c r="J12" i="8" s="1"/>
  <c r="Z19" i="8"/>
  <c r="AD19" i="8" s="1"/>
  <c r="AH19" i="8" s="1"/>
  <c r="N13" i="8"/>
  <c r="R13" i="8" s="1"/>
  <c r="V13" i="8" s="1"/>
  <c r="N9" i="8"/>
  <c r="R9" i="8" s="1"/>
  <c r="V9" i="8" s="1"/>
  <c r="Z35" i="8"/>
  <c r="AD35" i="8" s="1"/>
  <c r="AH35" i="8" s="1"/>
  <c r="Z27" i="8"/>
  <c r="AD27" i="8" s="1"/>
  <c r="AH27" i="8" s="1"/>
  <c r="Z12" i="8"/>
  <c r="AD12" i="8" s="1"/>
  <c r="AH12" i="8" s="1"/>
  <c r="Z20" i="8"/>
  <c r="AD20" i="8" s="1"/>
  <c r="AH20" i="8" s="1"/>
  <c r="B20" i="8"/>
  <c r="F20" i="8" s="1"/>
  <c r="J20" i="8" s="1"/>
  <c r="H23" i="8" l="1"/>
  <c r="L23" i="8" s="1"/>
  <c r="G12" i="8"/>
  <c r="K12" i="8" s="1"/>
  <c r="H17" i="8"/>
  <c r="L17" i="8" s="1"/>
  <c r="H33" i="8"/>
  <c r="L33" i="8" s="1"/>
  <c r="AF32" i="8"/>
  <c r="T25" i="8"/>
  <c r="X25" i="8" s="1"/>
  <c r="T21" i="8"/>
  <c r="X21" i="8" s="1"/>
  <c r="T47" i="8"/>
  <c r="AF33" i="8"/>
  <c r="AJ33" i="8" s="1"/>
  <c r="AF39" i="8"/>
  <c r="S18" i="8"/>
  <c r="W18" i="8" s="1"/>
  <c r="S34" i="8"/>
  <c r="W34" i="8" s="1"/>
  <c r="H16" i="8"/>
  <c r="AE22" i="8"/>
  <c r="AI22" i="8" s="1"/>
  <c r="AE19" i="8"/>
  <c r="AI19" i="8" s="1"/>
  <c r="AE44" i="8"/>
  <c r="AI44" i="8" s="1"/>
  <c r="AE13" i="8"/>
  <c r="AI13" i="8" s="1"/>
  <c r="AG33" i="8"/>
  <c r="AK33" i="8" s="1"/>
  <c r="U21" i="8"/>
  <c r="Y21" i="8" s="1"/>
  <c r="T27" i="8"/>
  <c r="X27" i="8" s="1"/>
  <c r="S22" i="8"/>
  <c r="W22" i="8" s="1"/>
  <c r="H14" i="8"/>
  <c r="H32" i="8"/>
  <c r="L32" i="8" s="1"/>
  <c r="G9" i="8"/>
  <c r="K9" i="8" s="1"/>
  <c r="AF37" i="8"/>
  <c r="AE15" i="8"/>
  <c r="AI15" i="8" s="1"/>
  <c r="AE18" i="8"/>
  <c r="AI18" i="8" s="1"/>
  <c r="G26" i="8"/>
  <c r="K26" i="8" s="1"/>
  <c r="T14" i="8"/>
  <c r="X14" i="8" s="1"/>
  <c r="T16" i="8"/>
  <c r="X16" i="8" s="1"/>
  <c r="H43" i="8"/>
  <c r="L43" i="8" s="1"/>
  <c r="T29" i="8"/>
  <c r="X29" i="8" s="1"/>
  <c r="AF44" i="8"/>
  <c r="AG44" i="8" s="1"/>
  <c r="AK44" i="8" s="1"/>
  <c r="U14" i="8"/>
  <c r="Y14" i="8" s="1"/>
  <c r="I21" i="8"/>
  <c r="M21" i="8" s="1"/>
  <c r="I17" i="8"/>
  <c r="M17" i="8" s="1"/>
  <c r="I33" i="8"/>
  <c r="M33" i="8" s="1"/>
  <c r="S9" i="8"/>
  <c r="W9" i="8" s="1"/>
  <c r="H25" i="8"/>
  <c r="L25" i="8" s="1"/>
  <c r="T41" i="8"/>
  <c r="X41" i="8" s="1"/>
  <c r="AF14" i="8"/>
  <c r="AG14" i="8" s="1"/>
  <c r="AK14" i="8" s="1"/>
  <c r="AF16" i="8"/>
  <c r="AJ16" i="8" s="1"/>
  <c r="H46" i="8"/>
  <c r="L46" i="8" s="1"/>
  <c r="H29" i="8"/>
  <c r="L29" i="8" s="1"/>
  <c r="AF42" i="8"/>
  <c r="AG42" i="8" s="1"/>
  <c r="AK42" i="8" s="1"/>
  <c r="T35" i="8"/>
  <c r="X35" i="8" s="1"/>
  <c r="T39" i="8"/>
  <c r="T32" i="8"/>
  <c r="X32" i="8" s="1"/>
  <c r="AF38" i="8"/>
  <c r="AJ38" i="8" s="1"/>
  <c r="H10" i="8"/>
  <c r="L10" i="8" s="1"/>
  <c r="H41" i="8"/>
  <c r="L41" i="8" s="1"/>
  <c r="T20" i="8"/>
  <c r="X20" i="8" s="1"/>
  <c r="AF21" i="8"/>
  <c r="AG21" i="8" s="1"/>
  <c r="AK21" i="8" s="1"/>
  <c r="H47" i="8"/>
  <c r="L47" i="8" s="1"/>
  <c r="AF25" i="8"/>
  <c r="AJ25" i="8" s="1"/>
  <c r="H12" i="8"/>
  <c r="I12" i="8" s="1"/>
  <c r="M12" i="8" s="1"/>
  <c r="S44" i="8"/>
  <c r="W44" i="8" s="1"/>
  <c r="G40" i="8"/>
  <c r="K40" i="8" s="1"/>
  <c r="U20" i="8"/>
  <c r="Y20" i="8" s="1"/>
  <c r="AF43" i="8"/>
  <c r="AJ43" i="8" s="1"/>
  <c r="H24" i="8"/>
  <c r="L24" i="8" s="1"/>
  <c r="T10" i="8"/>
  <c r="X10" i="8" s="1"/>
  <c r="AF29" i="8"/>
  <c r="AE20" i="8"/>
  <c r="AI20" i="8" s="1"/>
  <c r="AE23" i="8"/>
  <c r="AI23" i="8" s="1"/>
  <c r="N13" i="12"/>
  <c r="R13" i="12" s="1"/>
  <c r="W13" i="12" s="1"/>
  <c r="E17" i="3" s="1"/>
  <c r="M30" i="12"/>
  <c r="Q30" i="12" s="1"/>
  <c r="V30" i="12" s="1"/>
  <c r="D34" i="3" s="1"/>
  <c r="M22" i="12"/>
  <c r="Q22" i="12" s="1"/>
  <c r="V22" i="12" s="1"/>
  <c r="D26" i="3" s="1"/>
  <c r="M26" i="12"/>
  <c r="Q26" i="12" s="1"/>
  <c r="O13" i="12"/>
  <c r="S13" i="12" s="1"/>
  <c r="N5" i="7" s="1"/>
  <c r="N24" i="12"/>
  <c r="R24" i="12" s="1"/>
  <c r="W24" i="12" s="1"/>
  <c r="E28" i="3" s="1"/>
  <c r="N23" i="12"/>
  <c r="R23" i="12" s="1"/>
  <c r="W23" i="12" s="1"/>
  <c r="E27" i="3" s="1"/>
  <c r="M7" i="12"/>
  <c r="Q7" i="12" s="1"/>
  <c r="N16" i="12"/>
  <c r="R16" i="12" s="1"/>
  <c r="W16" i="12" s="1"/>
  <c r="E20" i="3" s="1"/>
  <c r="M9" i="12"/>
  <c r="Q9" i="12" s="1"/>
  <c r="V9" i="12" s="1"/>
  <c r="D13" i="3" s="1"/>
  <c r="M28" i="12"/>
  <c r="Q28" i="12" s="1"/>
  <c r="AC5" i="5" s="1"/>
  <c r="N6" i="12"/>
  <c r="R6" i="12" s="1"/>
  <c r="G5" i="6" s="1"/>
  <c r="N19" i="12"/>
  <c r="R19" i="12" s="1"/>
  <c r="T5" i="6" s="1"/>
  <c r="N14" i="12"/>
  <c r="R14" i="12" s="1"/>
  <c r="O5" i="6" s="1"/>
  <c r="N8" i="12"/>
  <c r="R8" i="12" s="1"/>
  <c r="I5" i="6" s="1"/>
  <c r="M5" i="5"/>
  <c r="V12" i="12"/>
  <c r="D16" i="3" s="1"/>
  <c r="K42" i="8"/>
  <c r="H42" i="8"/>
  <c r="L42" i="8" s="1"/>
  <c r="K15" i="8"/>
  <c r="H15" i="8"/>
  <c r="L15" i="8" s="1"/>
  <c r="AF23" i="8"/>
  <c r="W5" i="5"/>
  <c r="H11" i="8"/>
  <c r="H26" i="8"/>
  <c r="L26" i="8" s="1"/>
  <c r="AJ44" i="8"/>
  <c r="U9" i="12"/>
  <c r="C13" i="3" s="1"/>
  <c r="J5" i="4"/>
  <c r="O5" i="5"/>
  <c r="V14" i="12"/>
  <c r="D18" i="3" s="1"/>
  <c r="I29" i="8"/>
  <c r="M29" i="8" s="1"/>
  <c r="W6" i="12"/>
  <c r="E10" i="3" s="1"/>
  <c r="Y5" i="6"/>
  <c r="H38" i="8"/>
  <c r="AF10" i="8"/>
  <c r="AJ10" i="8" s="1"/>
  <c r="AJ14" i="8"/>
  <c r="T36" i="8"/>
  <c r="U20" i="12"/>
  <c r="C24" i="3" s="1"/>
  <c r="U5" i="4"/>
  <c r="F5" i="5"/>
  <c r="V5" i="12"/>
  <c r="D9" i="3" s="1"/>
  <c r="W19" i="8"/>
  <c r="T19" i="8"/>
  <c r="X19" i="8" s="1"/>
  <c r="U32" i="12"/>
  <c r="C36" i="3" s="1"/>
  <c r="AG5" i="4"/>
  <c r="E5" i="5"/>
  <c r="V4" i="12"/>
  <c r="D8" i="3" s="1"/>
  <c r="H39" i="8"/>
  <c r="L39" i="8" s="1"/>
  <c r="AF24" i="8"/>
  <c r="AF15" i="8"/>
  <c r="X5" i="6"/>
  <c r="L12" i="8"/>
  <c r="X39" i="8"/>
  <c r="U39" i="8"/>
  <c r="Y39" i="8" s="1"/>
  <c r="AI36" i="8"/>
  <c r="AF36" i="8"/>
  <c r="L16" i="8"/>
  <c r="I16" i="8"/>
  <c r="M16" i="8" s="1"/>
  <c r="AB5" i="5"/>
  <c r="V27" i="12"/>
  <c r="D31" i="3" s="1"/>
  <c r="V8" i="12"/>
  <c r="D12" i="3" s="1"/>
  <c r="I5" i="5"/>
  <c r="V6" i="12"/>
  <c r="D10" i="3" s="1"/>
  <c r="G5" i="5"/>
  <c r="V31" i="12"/>
  <c r="D35" i="3" s="1"/>
  <c r="AF5" i="5"/>
  <c r="AJ37" i="8"/>
  <c r="AG37" i="8"/>
  <c r="AK37" i="8" s="1"/>
  <c r="U16" i="8"/>
  <c r="Y16" i="8" s="1"/>
  <c r="I43" i="8"/>
  <c r="M43" i="8" s="1"/>
  <c r="H45" i="8"/>
  <c r="AF47" i="8"/>
  <c r="I26" i="8"/>
  <c r="M26" i="8" s="1"/>
  <c r="L14" i="8"/>
  <c r="I14" i="8"/>
  <c r="M14" i="8" s="1"/>
  <c r="AJ32" i="8"/>
  <c r="AG32" i="8"/>
  <c r="AK32" i="8" s="1"/>
  <c r="I32" i="8"/>
  <c r="M32" i="8" s="1"/>
  <c r="AF20" i="8"/>
  <c r="AJ29" i="8"/>
  <c r="AG29" i="8"/>
  <c r="AK29" i="8" s="1"/>
  <c r="X47" i="8"/>
  <c r="U47" i="8"/>
  <c r="Y47" i="8" s="1"/>
  <c r="AJ39" i="8"/>
  <c r="AG39" i="8"/>
  <c r="AK39" i="8" s="1"/>
  <c r="T18" i="8"/>
  <c r="X18" i="8" s="1"/>
  <c r="T34" i="8"/>
  <c r="X34" i="8" s="1"/>
  <c r="W8" i="12"/>
  <c r="E12" i="3" s="1"/>
  <c r="U31" i="12"/>
  <c r="C35" i="3" s="1"/>
  <c r="AF5" i="4"/>
  <c r="U28" i="12"/>
  <c r="C32" i="3" s="1"/>
  <c r="AC5" i="4"/>
  <c r="AF48" i="9"/>
  <c r="F48" i="9" s="1"/>
  <c r="N48" i="9" s="1"/>
  <c r="AF47" i="9"/>
  <c r="F47" i="9" s="1"/>
  <c r="N47" i="9" s="1"/>
  <c r="AF55" i="9"/>
  <c r="F55" i="9" s="1"/>
  <c r="N55" i="9" s="1"/>
  <c r="O5" i="4"/>
  <c r="U14" i="12"/>
  <c r="C18" i="3" s="1"/>
  <c r="AF11" i="8"/>
  <c r="T22" i="8"/>
  <c r="AF28" i="8"/>
  <c r="AJ28" i="8" s="1"/>
  <c r="T11" i="8"/>
  <c r="X11" i="8" s="1"/>
  <c r="H28" i="8"/>
  <c r="L28" i="8" s="1"/>
  <c r="H36" i="8"/>
  <c r="L36" i="8" s="1"/>
  <c r="T43" i="8"/>
  <c r="T17" i="8"/>
  <c r="X17" i="8" s="1"/>
  <c r="T28" i="8"/>
  <c r="X28" i="8" s="1"/>
  <c r="T33" i="8"/>
  <c r="X33" i="8" s="1"/>
  <c r="H31" i="8"/>
  <c r="L31" i="8" s="1"/>
  <c r="N2" i="12"/>
  <c r="R2" i="12" s="1"/>
  <c r="C5" i="6" s="1"/>
  <c r="T37" i="8"/>
  <c r="X37" i="8" s="1"/>
  <c r="AF41" i="8"/>
  <c r="AJ41" i="8" s="1"/>
  <c r="N5" i="12"/>
  <c r="R5" i="12" s="1"/>
  <c r="N25" i="12"/>
  <c r="R25" i="12" s="1"/>
  <c r="N26" i="12"/>
  <c r="R26" i="12" s="1"/>
  <c r="U22" i="12"/>
  <c r="C26" i="3" s="1"/>
  <c r="W5" i="4"/>
  <c r="G30" i="8"/>
  <c r="K30" i="8" s="1"/>
  <c r="G44" i="8"/>
  <c r="K44" i="8" s="1"/>
  <c r="H5" i="5"/>
  <c r="V7" i="12"/>
  <c r="D11" i="3" s="1"/>
  <c r="AA5" i="5"/>
  <c r="V26" i="12"/>
  <c r="D30" i="3" s="1"/>
  <c r="X5" i="5"/>
  <c r="V23" i="12"/>
  <c r="D27" i="3" s="1"/>
  <c r="O16" i="12"/>
  <c r="S16" i="12" s="1"/>
  <c r="R5" i="4"/>
  <c r="U17" i="12"/>
  <c r="C21" i="3" s="1"/>
  <c r="U30" i="12"/>
  <c r="C34" i="3" s="1"/>
  <c r="AE5" i="4"/>
  <c r="AE30" i="8"/>
  <c r="AI30" i="8" s="1"/>
  <c r="AE40" i="8"/>
  <c r="AI40" i="8" s="1"/>
  <c r="AE12" i="8"/>
  <c r="AI12" i="8" s="1"/>
  <c r="G13" i="8"/>
  <c r="K13" i="8" s="1"/>
  <c r="Y5" i="5"/>
  <c r="V24" i="12"/>
  <c r="D28" i="3" s="1"/>
  <c r="G20" i="8"/>
  <c r="K20" i="8" s="1"/>
  <c r="M20" i="12"/>
  <c r="Q20" i="12" s="1"/>
  <c r="M17" i="12"/>
  <c r="Q17" i="12" s="1"/>
  <c r="M10" i="12"/>
  <c r="Q10" i="12" s="1"/>
  <c r="E5" i="4"/>
  <c r="U4" i="12"/>
  <c r="C8" i="3" s="1"/>
  <c r="AD49" i="9"/>
  <c r="D49" i="9" s="1"/>
  <c r="L49" i="9" s="1"/>
  <c r="AD40" i="9"/>
  <c r="D40" i="9" s="1"/>
  <c r="L40" i="9" s="1"/>
  <c r="AD56" i="9"/>
  <c r="D56" i="9" s="1"/>
  <c r="L56" i="9" s="1"/>
  <c r="AA68" i="9"/>
  <c r="AE68" i="9" s="1"/>
  <c r="E68" i="9" s="1"/>
  <c r="M68" i="9" s="1"/>
  <c r="AA67" i="9"/>
  <c r="AE67" i="9" s="1"/>
  <c r="E67" i="9" s="1"/>
  <c r="M67" i="9" s="1"/>
  <c r="AA62" i="9"/>
  <c r="AE62" i="9" s="1"/>
  <c r="E62" i="9" s="1"/>
  <c r="M62" i="9" s="1"/>
  <c r="AA61" i="9"/>
  <c r="AA58" i="9"/>
  <c r="AA57" i="9"/>
  <c r="AE57" i="9" s="1"/>
  <c r="E57" i="9" s="1"/>
  <c r="M57" i="9" s="1"/>
  <c r="AA66" i="9"/>
  <c r="AE66" i="9" s="1"/>
  <c r="E66" i="9" s="1"/>
  <c r="M66" i="9" s="1"/>
  <c r="AA56" i="9"/>
  <c r="AE56" i="9" s="1"/>
  <c r="E56" i="9" s="1"/>
  <c r="M56" i="9" s="1"/>
  <c r="AA55" i="9"/>
  <c r="AE55" i="9" s="1"/>
  <c r="E55" i="9" s="1"/>
  <c r="M55" i="9" s="1"/>
  <c r="AA52" i="9"/>
  <c r="AE52" i="9" s="1"/>
  <c r="E52" i="9" s="1"/>
  <c r="M52" i="9" s="1"/>
  <c r="AA51" i="9"/>
  <c r="AE51" i="9" s="1"/>
  <c r="E51" i="9" s="1"/>
  <c r="M51" i="9" s="1"/>
  <c r="AA48" i="9"/>
  <c r="AE48" i="9" s="1"/>
  <c r="E48" i="9" s="1"/>
  <c r="M48" i="9" s="1"/>
  <c r="AA47" i="9"/>
  <c r="AE47" i="9" s="1"/>
  <c r="E47" i="9" s="1"/>
  <c r="M47" i="9" s="1"/>
  <c r="AA44" i="9"/>
  <c r="AE44" i="9" s="1"/>
  <c r="E44" i="9" s="1"/>
  <c r="M44" i="9" s="1"/>
  <c r="AA43" i="9"/>
  <c r="AE43" i="9" s="1"/>
  <c r="E43" i="9" s="1"/>
  <c r="M43" i="9" s="1"/>
  <c r="AA40" i="9"/>
  <c r="AA39" i="9"/>
  <c r="AE39" i="9" s="1"/>
  <c r="E39" i="9" s="1"/>
  <c r="M39" i="9" s="1"/>
  <c r="AA64" i="9"/>
  <c r="AE64" i="9" s="1"/>
  <c r="E64" i="9" s="1"/>
  <c r="M64" i="9" s="1"/>
  <c r="AA59" i="9"/>
  <c r="AE59" i="9" s="1"/>
  <c r="E59" i="9" s="1"/>
  <c r="M59" i="9" s="1"/>
  <c r="AA50" i="9"/>
  <c r="AE50" i="9" s="1"/>
  <c r="E50" i="9" s="1"/>
  <c r="M50" i="9" s="1"/>
  <c r="AA42" i="9"/>
  <c r="AE42" i="9" s="1"/>
  <c r="E42" i="9" s="1"/>
  <c r="M42" i="9" s="1"/>
  <c r="AA63" i="9"/>
  <c r="AE63" i="9" s="1"/>
  <c r="E63" i="9" s="1"/>
  <c r="M63" i="9" s="1"/>
  <c r="AA49" i="9"/>
  <c r="AA41" i="9"/>
  <c r="AA45" i="9"/>
  <c r="AE45" i="9" s="1"/>
  <c r="E45" i="9" s="1"/>
  <c r="M45" i="9" s="1"/>
  <c r="AA54" i="9"/>
  <c r="AE54" i="9" s="1"/>
  <c r="E54" i="9" s="1"/>
  <c r="M54" i="9" s="1"/>
  <c r="AA46" i="9"/>
  <c r="AE46" i="9" s="1"/>
  <c r="E46" i="9" s="1"/>
  <c r="M46" i="9" s="1"/>
  <c r="AA53" i="9"/>
  <c r="AE53" i="9" s="1"/>
  <c r="E53" i="9" s="1"/>
  <c r="M53" i="9" s="1"/>
  <c r="AA60" i="9"/>
  <c r="AE60" i="9" s="1"/>
  <c r="E60" i="9" s="1"/>
  <c r="M60" i="9" s="1"/>
  <c r="AA65" i="9"/>
  <c r="AE65" i="9" s="1"/>
  <c r="E65" i="9" s="1"/>
  <c r="M65" i="9" s="1"/>
  <c r="AF56" i="9"/>
  <c r="F56" i="9" s="1"/>
  <c r="N56" i="9" s="1"/>
  <c r="AF46" i="9"/>
  <c r="F46" i="9" s="1"/>
  <c r="N46" i="9" s="1"/>
  <c r="AF59" i="9"/>
  <c r="F59" i="9" s="1"/>
  <c r="N59" i="9" s="1"/>
  <c r="AF17" i="8"/>
  <c r="AJ17" i="8" s="1"/>
  <c r="H37" i="8"/>
  <c r="T44" i="8"/>
  <c r="T24" i="8"/>
  <c r="X24" i="8" s="1"/>
  <c r="N4" i="12"/>
  <c r="R4" i="12" s="1"/>
  <c r="T15" i="8"/>
  <c r="AF19" i="8"/>
  <c r="H27" i="8"/>
  <c r="T31" i="8"/>
  <c r="AF35" i="8"/>
  <c r="N9" i="12"/>
  <c r="R9" i="12" s="1"/>
  <c r="N12" i="12"/>
  <c r="R12" i="12" s="1"/>
  <c r="N31" i="12"/>
  <c r="R31" i="12" s="1"/>
  <c r="AD30" i="4"/>
  <c r="AD9" i="4"/>
  <c r="AD13" i="4"/>
  <c r="AD17" i="4"/>
  <c r="AD21" i="4"/>
  <c r="AD25" i="4"/>
  <c r="AD29" i="4"/>
  <c r="AD8" i="4"/>
  <c r="AD12" i="4"/>
  <c r="AD16" i="4"/>
  <c r="AD20" i="4"/>
  <c r="AD24" i="4"/>
  <c r="AD28" i="4"/>
  <c r="AD7" i="4"/>
  <c r="AD11" i="4"/>
  <c r="AD15" i="4"/>
  <c r="AD19" i="4"/>
  <c r="AD23" i="4"/>
  <c r="AD27" i="4"/>
  <c r="AD14" i="4"/>
  <c r="AD10" i="4"/>
  <c r="AD26" i="4"/>
  <c r="AD6" i="4"/>
  <c r="AD22" i="4"/>
  <c r="AD18" i="4"/>
  <c r="Z30" i="4"/>
  <c r="Z8" i="4"/>
  <c r="Z12" i="4"/>
  <c r="Z16" i="4"/>
  <c r="Z20" i="4"/>
  <c r="Z24" i="4"/>
  <c r="Z28" i="4"/>
  <c r="Z7" i="4"/>
  <c r="Z11" i="4"/>
  <c r="Z15" i="4"/>
  <c r="Z19" i="4"/>
  <c r="Z23" i="4"/>
  <c r="Z27" i="4"/>
  <c r="Z6" i="4"/>
  <c r="Z10" i="4"/>
  <c r="Z14" i="4"/>
  <c r="Z18" i="4"/>
  <c r="Z22" i="4"/>
  <c r="Z26" i="4"/>
  <c r="Z21" i="4"/>
  <c r="Z17" i="4"/>
  <c r="Z9" i="4"/>
  <c r="Z25" i="4"/>
  <c r="Z13" i="4"/>
  <c r="Z29" i="4"/>
  <c r="T5" i="5"/>
  <c r="V19" i="12"/>
  <c r="D23" i="3" s="1"/>
  <c r="F5" i="4"/>
  <c r="U5" i="12"/>
  <c r="C9" i="3" s="1"/>
  <c r="K5" i="4"/>
  <c r="U10" i="12"/>
  <c r="C14" i="3" s="1"/>
  <c r="U26" i="12"/>
  <c r="C30" i="3" s="1"/>
  <c r="AA5" i="4"/>
  <c r="AE27" i="8"/>
  <c r="S40" i="8"/>
  <c r="W40" i="8" s="1"/>
  <c r="S13" i="8"/>
  <c r="W13" i="8" s="1"/>
  <c r="G22" i="8"/>
  <c r="K22" i="8" s="1"/>
  <c r="AE48" i="8"/>
  <c r="S30" i="8"/>
  <c r="M32" i="12"/>
  <c r="Q32" i="12" s="1"/>
  <c r="S46" i="8"/>
  <c r="W46" i="8" s="1"/>
  <c r="Q5" i="5"/>
  <c r="V16" i="12"/>
  <c r="D20" i="3" s="1"/>
  <c r="V5" i="5"/>
  <c r="V21" i="12"/>
  <c r="D25" i="3" s="1"/>
  <c r="T5" i="4"/>
  <c r="U19" i="12"/>
  <c r="C23" i="3" s="1"/>
  <c r="AD41" i="9"/>
  <c r="D41" i="9" s="1"/>
  <c r="L41" i="9" s="1"/>
  <c r="AD58" i="9"/>
  <c r="D58" i="9" s="1"/>
  <c r="L58" i="9" s="1"/>
  <c r="X5" i="4"/>
  <c r="U23" i="12"/>
  <c r="C27" i="3" s="1"/>
  <c r="O26" i="12"/>
  <c r="S26" i="12" s="1"/>
  <c r="AF50" i="9"/>
  <c r="F50" i="9" s="1"/>
  <c r="N50" i="9" s="1"/>
  <c r="AF43" i="9"/>
  <c r="F43" i="9" s="1"/>
  <c r="N43" i="9" s="1"/>
  <c r="AF51" i="9"/>
  <c r="F51" i="9" s="1"/>
  <c r="N51" i="9" s="1"/>
  <c r="AF60" i="9"/>
  <c r="F60" i="9" s="1"/>
  <c r="N60" i="9" s="1"/>
  <c r="N27" i="12"/>
  <c r="R27" i="12" s="1"/>
  <c r="U11" i="12"/>
  <c r="C15" i="3" s="1"/>
  <c r="L5" i="4"/>
  <c r="AE34" i="8"/>
  <c r="AI34" i="8" s="1"/>
  <c r="AE45" i="8"/>
  <c r="AI45" i="8" s="1"/>
  <c r="AE9" i="8"/>
  <c r="M11" i="12"/>
  <c r="Q11" i="12" s="1"/>
  <c r="AD5" i="5"/>
  <c r="V29" i="12"/>
  <c r="D33" i="3" s="1"/>
  <c r="N5" i="5"/>
  <c r="V13" i="12"/>
  <c r="D17" i="3" s="1"/>
  <c r="U15" i="12"/>
  <c r="C19" i="3" s="1"/>
  <c r="P5" i="4"/>
  <c r="U7" i="12"/>
  <c r="C11" i="3" s="1"/>
  <c r="H5" i="4"/>
  <c r="U18" i="12"/>
  <c r="C22" i="3" s="1"/>
  <c r="S5" i="4"/>
  <c r="U3" i="12"/>
  <c r="C7" i="3" s="1"/>
  <c r="D5" i="4"/>
  <c r="S12" i="8"/>
  <c r="W12" i="8" s="1"/>
  <c r="AE26" i="8"/>
  <c r="AI26" i="8" s="1"/>
  <c r="S45" i="8"/>
  <c r="S48" i="8"/>
  <c r="W48" i="8" s="1"/>
  <c r="AE31" i="8"/>
  <c r="AI31" i="8" s="1"/>
  <c r="G18" i="8"/>
  <c r="G34" i="8"/>
  <c r="S26" i="8"/>
  <c r="G48" i="8"/>
  <c r="K48" i="8" s="1"/>
  <c r="M3" i="12"/>
  <c r="Q3" i="12" s="1"/>
  <c r="M15" i="12"/>
  <c r="Q15" i="12" s="1"/>
  <c r="S42" i="8"/>
  <c r="W42" i="8" s="1"/>
  <c r="AE46" i="8"/>
  <c r="M18" i="12"/>
  <c r="Q18" i="12" s="1"/>
  <c r="V25" i="12"/>
  <c r="D29" i="3" s="1"/>
  <c r="Z5" i="5"/>
  <c r="N5" i="4"/>
  <c r="U13" i="12"/>
  <c r="C17" i="3" s="1"/>
  <c r="AD61" i="9"/>
  <c r="D61" i="9" s="1"/>
  <c r="L61" i="9" s="1"/>
  <c r="M5" i="4"/>
  <c r="U12" i="12"/>
  <c r="C16" i="3" s="1"/>
  <c r="U8" i="12"/>
  <c r="C12" i="3" s="1"/>
  <c r="I5" i="4"/>
  <c r="G5" i="4"/>
  <c r="U6" i="12"/>
  <c r="C10" i="3" s="1"/>
  <c r="AB5" i="4"/>
  <c r="U27" i="12"/>
  <c r="C31" i="3" s="1"/>
  <c r="AF62" i="9"/>
  <c r="F62" i="9" s="1"/>
  <c r="N62" i="9" s="1"/>
  <c r="AF45" i="9"/>
  <c r="F45" i="9" s="1"/>
  <c r="N45" i="9" s="1"/>
  <c r="AF53" i="9"/>
  <c r="F53" i="9" s="1"/>
  <c r="N53" i="9" s="1"/>
  <c r="T38" i="8"/>
  <c r="H19" i="8"/>
  <c r="L19" i="8" s="1"/>
  <c r="T23" i="8"/>
  <c r="H35" i="8"/>
  <c r="L35" i="8" s="1"/>
  <c r="N29" i="12"/>
  <c r="R29" i="12" s="1"/>
  <c r="N21" i="12"/>
  <c r="R21" i="12" s="1"/>
  <c r="V30" i="4"/>
  <c r="V7" i="4"/>
  <c r="V11" i="4"/>
  <c r="V15" i="4"/>
  <c r="V19" i="4"/>
  <c r="V23" i="4"/>
  <c r="V27" i="4"/>
  <c r="V6" i="4"/>
  <c r="V10" i="4"/>
  <c r="V14" i="4"/>
  <c r="V18" i="4"/>
  <c r="V22" i="4"/>
  <c r="V26" i="4"/>
  <c r="V9" i="4"/>
  <c r="V13" i="4"/>
  <c r="V17" i="4"/>
  <c r="V21" i="4"/>
  <c r="V25" i="4"/>
  <c r="V29" i="4"/>
  <c r="V12" i="4"/>
  <c r="V28" i="4"/>
  <c r="V8" i="4"/>
  <c r="V24" i="4"/>
  <c r="V16" i="4"/>
  <c r="V20" i="4"/>
  <c r="Y30" i="4"/>
  <c r="Y26" i="4"/>
  <c r="Y22" i="4"/>
  <c r="Y18" i="4"/>
  <c r="Y14" i="4"/>
  <c r="Y10" i="4"/>
  <c r="Y6" i="4"/>
  <c r="Y28" i="4"/>
  <c r="Y20" i="4"/>
  <c r="Y16" i="4"/>
  <c r="Y12" i="4"/>
  <c r="Y27" i="4"/>
  <c r="Y23" i="4"/>
  <c r="Y19" i="4"/>
  <c r="Y15" i="4"/>
  <c r="Y11" i="4"/>
  <c r="Y7" i="4"/>
  <c r="Y29" i="4"/>
  <c r="Y25" i="4"/>
  <c r="Y21" i="4"/>
  <c r="Y17" i="4"/>
  <c r="Y13" i="4"/>
  <c r="Y9" i="4"/>
  <c r="Y24" i="4"/>
  <c r="Y8" i="4"/>
  <c r="Q30" i="4"/>
  <c r="Q26" i="4"/>
  <c r="Q22" i="4"/>
  <c r="Q18" i="4"/>
  <c r="Q14" i="4"/>
  <c r="Q10" i="4"/>
  <c r="Q6" i="4"/>
  <c r="Q24" i="4"/>
  <c r="Q20" i="4"/>
  <c r="Q16" i="4"/>
  <c r="Q12" i="4"/>
  <c r="Q8" i="4"/>
  <c r="Q29" i="4"/>
  <c r="Q25" i="4"/>
  <c r="Q21" i="4"/>
  <c r="Q17" i="4"/>
  <c r="Q13" i="4"/>
  <c r="Q9" i="4"/>
  <c r="Q28" i="4"/>
  <c r="Q27" i="4"/>
  <c r="Q23" i="4"/>
  <c r="Q19" i="4"/>
  <c r="Q15" i="4"/>
  <c r="Q11" i="4"/>
  <c r="Q7" i="4"/>
  <c r="N7" i="12" l="1"/>
  <c r="I46" i="8"/>
  <c r="M46" i="8" s="1"/>
  <c r="AF22" i="8"/>
  <c r="AJ22" i="8" s="1"/>
  <c r="U32" i="8"/>
  <c r="Y32" i="8" s="1"/>
  <c r="U27" i="8"/>
  <c r="Y27" i="8" s="1"/>
  <c r="I25" i="8"/>
  <c r="M25" i="8" s="1"/>
  <c r="U25" i="8"/>
  <c r="Y25" i="8" s="1"/>
  <c r="X13" i="12"/>
  <c r="F17" i="3" s="1"/>
  <c r="H40" i="8"/>
  <c r="AF13" i="8"/>
  <c r="AJ13" i="8" s="1"/>
  <c r="I23" i="8"/>
  <c r="M23" i="8" s="1"/>
  <c r="N22" i="12"/>
  <c r="AF18" i="8"/>
  <c r="AG38" i="8"/>
  <c r="AK38" i="8" s="1"/>
  <c r="I24" i="8"/>
  <c r="M24" i="8" s="1"/>
  <c r="AF40" i="8"/>
  <c r="H20" i="8"/>
  <c r="L20" i="8" s="1"/>
  <c r="U19" i="8"/>
  <c r="Y19" i="8" s="1"/>
  <c r="AJ21" i="8"/>
  <c r="I42" i="8"/>
  <c r="M42" i="8" s="1"/>
  <c r="H13" i="8"/>
  <c r="L13" i="8" s="1"/>
  <c r="I15" i="8"/>
  <c r="M15" i="8" s="1"/>
  <c r="AJ42" i="8"/>
  <c r="N5" i="6"/>
  <c r="O24" i="12"/>
  <c r="S24" i="12" s="1"/>
  <c r="U10" i="8"/>
  <c r="Y10" i="8" s="1"/>
  <c r="AG16" i="8"/>
  <c r="AK16" i="8" s="1"/>
  <c r="U41" i="8"/>
  <c r="Y41" i="8" s="1"/>
  <c r="N20" i="12"/>
  <c r="R20" i="12" s="1"/>
  <c r="U5" i="6" s="1"/>
  <c r="H48" i="8"/>
  <c r="L48" i="8" s="1"/>
  <c r="O25" i="12"/>
  <c r="S25" i="12" s="1"/>
  <c r="Z5" i="7" s="1"/>
  <c r="U35" i="8"/>
  <c r="Y35" i="8" s="1"/>
  <c r="I47" i="8"/>
  <c r="M47" i="8" s="1"/>
  <c r="O5" i="12"/>
  <c r="S5" i="12" s="1"/>
  <c r="X5" i="12" s="1"/>
  <c r="F9" i="3" s="1"/>
  <c r="T48" i="8"/>
  <c r="U48" i="8" s="1"/>
  <c r="Y48" i="8" s="1"/>
  <c r="AG10" i="8"/>
  <c r="AK10" i="8" s="1"/>
  <c r="T9" i="8"/>
  <c r="J5" i="5"/>
  <c r="I10" i="8"/>
  <c r="M10" i="8" s="1"/>
  <c r="U29" i="8"/>
  <c r="Y29" i="8" s="1"/>
  <c r="AG25" i="8"/>
  <c r="AK25" i="8" s="1"/>
  <c r="H9" i="8"/>
  <c r="I41" i="8"/>
  <c r="M41" i="8" s="1"/>
  <c r="AG43" i="8"/>
  <c r="AK43" i="8" s="1"/>
  <c r="O21" i="12"/>
  <c r="S21" i="12" s="1"/>
  <c r="X21" i="12" s="1"/>
  <c r="F25" i="3" s="1"/>
  <c r="Q5" i="6"/>
  <c r="AE5" i="5"/>
  <c r="V28" i="12"/>
  <c r="D32" i="3" s="1"/>
  <c r="N30" i="12"/>
  <c r="R30" i="12" s="1"/>
  <c r="W30" i="12" s="1"/>
  <c r="E34" i="3" s="1"/>
  <c r="N11" i="12"/>
  <c r="R11" i="12" s="1"/>
  <c r="W11" i="12" s="1"/>
  <c r="E15" i="3" s="1"/>
  <c r="O6" i="12"/>
  <c r="S6" i="12" s="1"/>
  <c r="N32" i="12"/>
  <c r="R32" i="12" s="1"/>
  <c r="W32" i="12" s="1"/>
  <c r="E36" i="3" s="1"/>
  <c r="O23" i="12"/>
  <c r="S23" i="12" s="1"/>
  <c r="X5" i="7" s="1"/>
  <c r="X22" i="7" s="1"/>
  <c r="O14" i="12"/>
  <c r="S14" i="12" s="1"/>
  <c r="O12" i="12"/>
  <c r="S12" i="12" s="1"/>
  <c r="N28" i="12"/>
  <c r="O19" i="12"/>
  <c r="S19" i="12" s="1"/>
  <c r="W14" i="12"/>
  <c r="E18" i="3" s="1"/>
  <c r="W19" i="12"/>
  <c r="E23" i="3" s="1"/>
  <c r="N18" i="12"/>
  <c r="R18" i="12" s="1"/>
  <c r="W18" i="12" s="1"/>
  <c r="E22" i="3" s="1"/>
  <c r="O8" i="12"/>
  <c r="S8" i="12" s="1"/>
  <c r="O29" i="12"/>
  <c r="S29" i="12" s="1"/>
  <c r="X29" i="12" s="1"/>
  <c r="F33" i="3" s="1"/>
  <c r="AD5" i="7"/>
  <c r="X44" i="8"/>
  <c r="U44" i="8"/>
  <c r="Y44" i="8" s="1"/>
  <c r="Y30" i="5"/>
  <c r="Y26" i="5"/>
  <c r="Y22" i="5"/>
  <c r="Y18" i="5"/>
  <c r="Y14" i="5"/>
  <c r="Y10" i="5"/>
  <c r="Y6" i="5"/>
  <c r="Y29" i="5"/>
  <c r="Y25" i="5"/>
  <c r="Y21" i="5"/>
  <c r="Y17" i="5"/>
  <c r="Y13" i="5"/>
  <c r="Y9" i="5"/>
  <c r="Y28" i="5"/>
  <c r="Y24" i="5"/>
  <c r="Y20" i="5"/>
  <c r="Y16" i="5"/>
  <c r="Y12" i="5"/>
  <c r="Y8" i="5"/>
  <c r="Y19" i="5"/>
  <c r="Y15" i="5"/>
  <c r="Y27" i="5"/>
  <c r="Y11" i="5"/>
  <c r="Y7" i="5"/>
  <c r="Y23" i="5"/>
  <c r="R30" i="4"/>
  <c r="R6" i="4"/>
  <c r="R10" i="4"/>
  <c r="R14" i="4"/>
  <c r="R18" i="4"/>
  <c r="R22" i="4"/>
  <c r="R26" i="4"/>
  <c r="R9" i="4"/>
  <c r="R13" i="4"/>
  <c r="R17" i="4"/>
  <c r="R21" i="4"/>
  <c r="R25" i="4"/>
  <c r="R29" i="4"/>
  <c r="R8" i="4"/>
  <c r="R12" i="4"/>
  <c r="R16" i="4"/>
  <c r="R20" i="4"/>
  <c r="R24" i="4"/>
  <c r="R28" i="4"/>
  <c r="R19" i="4"/>
  <c r="R15" i="4"/>
  <c r="R7" i="4"/>
  <c r="R23" i="4"/>
  <c r="R11" i="4"/>
  <c r="R27" i="4"/>
  <c r="W20" i="12"/>
  <c r="E24" i="3" s="1"/>
  <c r="AJ40" i="8"/>
  <c r="AG40" i="8"/>
  <c r="AK40" i="8" s="1"/>
  <c r="AJ47" i="8"/>
  <c r="AG47" i="8"/>
  <c r="AK47" i="8" s="1"/>
  <c r="O9" i="12"/>
  <c r="S9" i="12" s="1"/>
  <c r="X48" i="8"/>
  <c r="L5" i="6"/>
  <c r="AJ18" i="8"/>
  <c r="AG18" i="8"/>
  <c r="AK18" i="8" s="1"/>
  <c r="G12" i="6"/>
  <c r="G8" i="6"/>
  <c r="G28" i="6"/>
  <c r="G24" i="6"/>
  <c r="G20" i="6"/>
  <c r="G7" i="6"/>
  <c r="G6" i="6"/>
  <c r="G27" i="6"/>
  <c r="G23" i="6"/>
  <c r="G19" i="6"/>
  <c r="G18" i="6"/>
  <c r="G17" i="6"/>
  <c r="G13" i="6"/>
  <c r="G16" i="6"/>
  <c r="G26" i="6"/>
  <c r="G15" i="6"/>
  <c r="G25" i="6"/>
  <c r="G11" i="6"/>
  <c r="G30" i="6"/>
  <c r="G22" i="6"/>
  <c r="G14" i="6"/>
  <c r="G21" i="6"/>
  <c r="G9" i="6"/>
  <c r="G10" i="6"/>
  <c r="G29" i="6"/>
  <c r="I31" i="8"/>
  <c r="M31" i="8" s="1"/>
  <c r="O30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6" i="5"/>
  <c r="S5" i="6"/>
  <c r="X23" i="8"/>
  <c r="U23" i="8"/>
  <c r="Y23" i="8" s="1"/>
  <c r="AF63" i="9"/>
  <c r="F63" i="9" s="1"/>
  <c r="N63" i="9" s="1"/>
  <c r="AF54" i="9"/>
  <c r="F54" i="9" s="1"/>
  <c r="N54" i="9" s="1"/>
  <c r="AB30" i="4"/>
  <c r="AB26" i="4"/>
  <c r="AB22" i="4"/>
  <c r="AB18" i="4"/>
  <c r="AB14" i="4"/>
  <c r="AB10" i="4"/>
  <c r="AB6" i="4"/>
  <c r="AB8" i="4"/>
  <c r="AB12" i="4"/>
  <c r="AB16" i="4"/>
  <c r="AB20" i="4"/>
  <c r="AB24" i="4"/>
  <c r="AB19" i="4"/>
  <c r="AB29" i="4"/>
  <c r="AB15" i="4"/>
  <c r="AB23" i="4"/>
  <c r="AB27" i="4"/>
  <c r="AB11" i="4"/>
  <c r="AB13" i="4"/>
  <c r="AB21" i="4"/>
  <c r="AB28" i="4"/>
  <c r="AB9" i="4"/>
  <c r="AB17" i="4"/>
  <c r="AB25" i="4"/>
  <c r="AB7" i="4"/>
  <c r="M5" i="7"/>
  <c r="X12" i="12"/>
  <c r="F16" i="3" s="1"/>
  <c r="S5" i="5"/>
  <c r="V18" i="12"/>
  <c r="D22" i="3" s="1"/>
  <c r="D5" i="5"/>
  <c r="V3" i="12"/>
  <c r="D7" i="3" s="1"/>
  <c r="K18" i="8"/>
  <c r="H18" i="8"/>
  <c r="S27" i="4"/>
  <c r="S23" i="4"/>
  <c r="S19" i="4"/>
  <c r="S15" i="4"/>
  <c r="S11" i="4"/>
  <c r="S7" i="4"/>
  <c r="S30" i="4"/>
  <c r="S26" i="4"/>
  <c r="S22" i="4"/>
  <c r="S18" i="4"/>
  <c r="S14" i="4"/>
  <c r="S10" i="4"/>
  <c r="S6" i="4"/>
  <c r="S29" i="4"/>
  <c r="S25" i="4"/>
  <c r="S21" i="4"/>
  <c r="S17" i="4"/>
  <c r="S13" i="4"/>
  <c r="S9" i="4"/>
  <c r="S28" i="4"/>
  <c r="S12" i="4"/>
  <c r="S24" i="4"/>
  <c r="S8" i="4"/>
  <c r="S20" i="4"/>
  <c r="S16" i="4"/>
  <c r="P28" i="4"/>
  <c r="P24" i="4"/>
  <c r="P20" i="4"/>
  <c r="P16" i="4"/>
  <c r="P12" i="4"/>
  <c r="P8" i="4"/>
  <c r="P29" i="4"/>
  <c r="P9" i="4"/>
  <c r="P21" i="4"/>
  <c r="P30" i="4"/>
  <c r="P13" i="4"/>
  <c r="P7" i="4"/>
  <c r="P11" i="4"/>
  <c r="P15" i="4"/>
  <c r="P19" i="4"/>
  <c r="P23" i="4"/>
  <c r="P27" i="4"/>
  <c r="P6" i="4"/>
  <c r="P10" i="4"/>
  <c r="P14" i="4"/>
  <c r="P18" i="4"/>
  <c r="P22" i="4"/>
  <c r="P26" i="4"/>
  <c r="P25" i="4"/>
  <c r="P17" i="4"/>
  <c r="L5" i="5"/>
  <c r="V11" i="12"/>
  <c r="D15" i="3" s="1"/>
  <c r="L30" i="4"/>
  <c r="L26" i="4"/>
  <c r="L22" i="4"/>
  <c r="L18" i="4"/>
  <c r="L14" i="4"/>
  <c r="L10" i="4"/>
  <c r="L6" i="4"/>
  <c r="L23" i="4"/>
  <c r="L27" i="4"/>
  <c r="L29" i="4"/>
  <c r="L28" i="4"/>
  <c r="L9" i="4"/>
  <c r="L13" i="4"/>
  <c r="L17" i="4"/>
  <c r="L21" i="4"/>
  <c r="L25" i="4"/>
  <c r="L8" i="4"/>
  <c r="L12" i="4"/>
  <c r="L16" i="4"/>
  <c r="L20" i="4"/>
  <c r="L24" i="4"/>
  <c r="L7" i="4"/>
  <c r="L11" i="4"/>
  <c r="L19" i="4"/>
  <c r="L15" i="4"/>
  <c r="AF44" i="9"/>
  <c r="F44" i="9" s="1"/>
  <c r="N44" i="9" s="1"/>
  <c r="V28" i="5"/>
  <c r="V24" i="5"/>
  <c r="V27" i="5"/>
  <c r="V23" i="5"/>
  <c r="V19" i="5"/>
  <c r="V11" i="5"/>
  <c r="V7" i="5"/>
  <c r="V20" i="5"/>
  <c r="V16" i="5"/>
  <c r="V12" i="5"/>
  <c r="V8" i="5"/>
  <c r="V15" i="5"/>
  <c r="V29" i="5"/>
  <c r="V10" i="5"/>
  <c r="V14" i="5"/>
  <c r="V18" i="5"/>
  <c r="V22" i="5"/>
  <c r="V26" i="5"/>
  <c r="V9" i="5"/>
  <c r="V13" i="5"/>
  <c r="V17" i="5"/>
  <c r="V21" i="5"/>
  <c r="V25" i="5"/>
  <c r="V30" i="5"/>
  <c r="V6" i="5"/>
  <c r="AG5" i="5"/>
  <c r="V32" i="12"/>
  <c r="D36" i="3" s="1"/>
  <c r="F30" i="4"/>
  <c r="F7" i="4"/>
  <c r="F11" i="4"/>
  <c r="F15" i="4"/>
  <c r="F19" i="4"/>
  <c r="F23" i="4"/>
  <c r="F27" i="4"/>
  <c r="F6" i="4"/>
  <c r="F10" i="4"/>
  <c r="F14" i="4"/>
  <c r="F18" i="4"/>
  <c r="F22" i="4"/>
  <c r="F26" i="4"/>
  <c r="F9" i="4"/>
  <c r="F13" i="4"/>
  <c r="F17" i="4"/>
  <c r="F21" i="4"/>
  <c r="F25" i="4"/>
  <c r="F29" i="4"/>
  <c r="F8" i="4"/>
  <c r="F24" i="4"/>
  <c r="F20" i="4"/>
  <c r="F12" i="4"/>
  <c r="F28" i="4"/>
  <c r="F16" i="4"/>
  <c r="AJ35" i="8"/>
  <c r="AG35" i="8"/>
  <c r="AK35" i="8" s="1"/>
  <c r="X15" i="8"/>
  <c r="U15" i="8"/>
  <c r="Y15" i="8" s="1"/>
  <c r="L37" i="8"/>
  <c r="I37" i="8"/>
  <c r="M37" i="8" s="1"/>
  <c r="AF57" i="9"/>
  <c r="F57" i="9" s="1"/>
  <c r="N57" i="9" s="1"/>
  <c r="O4" i="12"/>
  <c r="S4" i="12" s="1"/>
  <c r="AE58" i="9"/>
  <c r="V20" i="12"/>
  <c r="D24" i="3" s="1"/>
  <c r="U5" i="5"/>
  <c r="AE28" i="4"/>
  <c r="AE24" i="4"/>
  <c r="AE20" i="4"/>
  <c r="AE16" i="4"/>
  <c r="AE12" i="4"/>
  <c r="AE8" i="4"/>
  <c r="AE27" i="4"/>
  <c r="AE23" i="4"/>
  <c r="AE19" i="4"/>
  <c r="AE15" i="4"/>
  <c r="AE11" i="4"/>
  <c r="AE7" i="4"/>
  <c r="AE30" i="4"/>
  <c r="AE26" i="4"/>
  <c r="AE22" i="4"/>
  <c r="AE18" i="4"/>
  <c r="AE14" i="4"/>
  <c r="AE10" i="4"/>
  <c r="AE6" i="4"/>
  <c r="AE21" i="4"/>
  <c r="AE17" i="4"/>
  <c r="AE29" i="4"/>
  <c r="AE13" i="4"/>
  <c r="AE25" i="4"/>
  <c r="AE9" i="4"/>
  <c r="O27" i="12"/>
  <c r="S27" i="12" s="1"/>
  <c r="W27" i="4"/>
  <c r="W23" i="4"/>
  <c r="W19" i="4"/>
  <c r="W15" i="4"/>
  <c r="W11" i="4"/>
  <c r="W7" i="4"/>
  <c r="W30" i="4"/>
  <c r="W26" i="4"/>
  <c r="W22" i="4"/>
  <c r="W18" i="4"/>
  <c r="W14" i="4"/>
  <c r="W10" i="4"/>
  <c r="W6" i="4"/>
  <c r="W29" i="4"/>
  <c r="W25" i="4"/>
  <c r="W21" i="4"/>
  <c r="W17" i="4"/>
  <c r="W13" i="4"/>
  <c r="W9" i="4"/>
  <c r="W28" i="4"/>
  <c r="W12" i="4"/>
  <c r="W24" i="4"/>
  <c r="W8" i="4"/>
  <c r="W20" i="4"/>
  <c r="W16" i="4"/>
  <c r="Z5" i="6"/>
  <c r="W25" i="12"/>
  <c r="E29" i="3" s="1"/>
  <c r="X22" i="8"/>
  <c r="U22" i="8"/>
  <c r="Y22" i="8" s="1"/>
  <c r="AF65" i="9"/>
  <c r="F65" i="9" s="1"/>
  <c r="N65" i="9" s="1"/>
  <c r="AF39" i="9"/>
  <c r="F39" i="9" s="1"/>
  <c r="N39" i="9" s="1"/>
  <c r="AC28" i="4"/>
  <c r="AC24" i="4"/>
  <c r="AC20" i="4"/>
  <c r="AC16" i="4"/>
  <c r="AC12" i="4"/>
  <c r="AC8" i="4"/>
  <c r="AC26" i="4"/>
  <c r="AC22" i="4"/>
  <c r="AC18" i="4"/>
  <c r="AC14" i="4"/>
  <c r="AC10" i="4"/>
  <c r="AC6" i="4"/>
  <c r="AC29" i="4"/>
  <c r="AC27" i="4"/>
  <c r="AC23" i="4"/>
  <c r="AC19" i="4"/>
  <c r="AC15" i="4"/>
  <c r="AC11" i="4"/>
  <c r="AC7" i="4"/>
  <c r="AC30" i="4"/>
  <c r="AC25" i="4"/>
  <c r="AC21" i="4"/>
  <c r="AC17" i="4"/>
  <c r="AC13" i="4"/>
  <c r="AC9" i="4"/>
  <c r="N17" i="12"/>
  <c r="T46" i="8"/>
  <c r="AJ20" i="8"/>
  <c r="AG20" i="8"/>
  <c r="AK20" i="8" s="1"/>
  <c r="O26" i="6"/>
  <c r="O13" i="6"/>
  <c r="O9" i="6"/>
  <c r="O30" i="6"/>
  <c r="O22" i="6"/>
  <c r="O16" i="6"/>
  <c r="O21" i="6"/>
  <c r="O7" i="6"/>
  <c r="O28" i="6"/>
  <c r="O14" i="6"/>
  <c r="O19" i="6"/>
  <c r="O27" i="6"/>
  <c r="O24" i="6"/>
  <c r="O10" i="6"/>
  <c r="O8" i="6"/>
  <c r="O29" i="6"/>
  <c r="O23" i="6"/>
  <c r="O6" i="6"/>
  <c r="O25" i="6"/>
  <c r="O17" i="6"/>
  <c r="O15" i="6"/>
  <c r="O20" i="6"/>
  <c r="O12" i="6"/>
  <c r="O11" i="6"/>
  <c r="O18" i="6"/>
  <c r="L45" i="8"/>
  <c r="I45" i="8"/>
  <c r="M45" i="8" s="1"/>
  <c r="I28" i="8"/>
  <c r="M28" i="8" s="1"/>
  <c r="AF7" i="5"/>
  <c r="AF6" i="5"/>
  <c r="AF30" i="5"/>
  <c r="AF8" i="5"/>
  <c r="AF9" i="5"/>
  <c r="AF10" i="5"/>
  <c r="AF11" i="5"/>
  <c r="AF12" i="5"/>
  <c r="AF13" i="5"/>
  <c r="AF14" i="5"/>
  <c r="AF15" i="5"/>
  <c r="AF16" i="5"/>
  <c r="AF17" i="5"/>
  <c r="AF18" i="5"/>
  <c r="AF19" i="5"/>
  <c r="AF20" i="5"/>
  <c r="AF21" i="5"/>
  <c r="AF22" i="5"/>
  <c r="AF23" i="5"/>
  <c r="AF24" i="5"/>
  <c r="AF25" i="5"/>
  <c r="AF26" i="5"/>
  <c r="AF27" i="5"/>
  <c r="AF28" i="5"/>
  <c r="AF29" i="5"/>
  <c r="I30" i="5"/>
  <c r="I26" i="5"/>
  <c r="I22" i="5"/>
  <c r="I18" i="5"/>
  <c r="I14" i="5"/>
  <c r="I10" i="5"/>
  <c r="I6" i="5"/>
  <c r="I29" i="5"/>
  <c r="I25" i="5"/>
  <c r="I21" i="5"/>
  <c r="I17" i="5"/>
  <c r="I13" i="5"/>
  <c r="I9" i="5"/>
  <c r="I28" i="5"/>
  <c r="I24" i="5"/>
  <c r="I20" i="5"/>
  <c r="I16" i="5"/>
  <c r="I12" i="5"/>
  <c r="I8" i="5"/>
  <c r="I15" i="5"/>
  <c r="I27" i="5"/>
  <c r="I11" i="5"/>
  <c r="I23" i="5"/>
  <c r="I7" i="5"/>
  <c r="I19" i="5"/>
  <c r="AJ36" i="8"/>
  <c r="AG36" i="8"/>
  <c r="AK36" i="8" s="1"/>
  <c r="Q6" i="6"/>
  <c r="Q28" i="6"/>
  <c r="Q24" i="6"/>
  <c r="Q20" i="6"/>
  <c r="Q30" i="6"/>
  <c r="Q27" i="6"/>
  <c r="Q23" i="6"/>
  <c r="Q26" i="6"/>
  <c r="Q22" i="6"/>
  <c r="Q29" i="6"/>
  <c r="Q25" i="6"/>
  <c r="Q21" i="6"/>
  <c r="Q19" i="6"/>
  <c r="Q12" i="6"/>
  <c r="Q14" i="6"/>
  <c r="Q16" i="6"/>
  <c r="Q18" i="6"/>
  <c r="Q8" i="6"/>
  <c r="Q11" i="6"/>
  <c r="Q9" i="6"/>
  <c r="Q10" i="6"/>
  <c r="Q13" i="6"/>
  <c r="Q15" i="6"/>
  <c r="Q17" i="6"/>
  <c r="Q7" i="6"/>
  <c r="N30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29" i="7"/>
  <c r="N28" i="7"/>
  <c r="T42" i="8"/>
  <c r="U18" i="8"/>
  <c r="Y18" i="8" s="1"/>
  <c r="O20" i="12"/>
  <c r="S20" i="12" s="1"/>
  <c r="U37" i="8"/>
  <c r="Y37" i="8" s="1"/>
  <c r="I36" i="8"/>
  <c r="M36" i="8" s="1"/>
  <c r="E29" i="5"/>
  <c r="E25" i="5"/>
  <c r="E21" i="5"/>
  <c r="E17" i="5"/>
  <c r="E13" i="5"/>
  <c r="E9" i="5"/>
  <c r="E28" i="5"/>
  <c r="E24" i="5"/>
  <c r="E20" i="5"/>
  <c r="E16" i="5"/>
  <c r="E12" i="5"/>
  <c r="E8" i="5"/>
  <c r="E27" i="5"/>
  <c r="E23" i="5"/>
  <c r="E19" i="5"/>
  <c r="E15" i="5"/>
  <c r="E11" i="5"/>
  <c r="E7" i="5"/>
  <c r="E22" i="5"/>
  <c r="E6" i="5"/>
  <c r="E18" i="5"/>
  <c r="E30" i="5"/>
  <c r="E14" i="5"/>
  <c r="E10" i="5"/>
  <c r="E26" i="5"/>
  <c r="O11" i="12"/>
  <c r="S11" i="12" s="1"/>
  <c r="U33" i="8"/>
  <c r="Y33" i="8" s="1"/>
  <c r="X26" i="7"/>
  <c r="X10" i="7"/>
  <c r="X25" i="7"/>
  <c r="X9" i="7"/>
  <c r="X16" i="7"/>
  <c r="X19" i="7"/>
  <c r="H44" i="8"/>
  <c r="U34" i="8"/>
  <c r="Y34" i="8" s="1"/>
  <c r="I20" i="8"/>
  <c r="M20" i="8" s="1"/>
  <c r="AC27" i="5"/>
  <c r="AC23" i="5"/>
  <c r="AC19" i="5"/>
  <c r="AC15" i="5"/>
  <c r="AC11" i="5"/>
  <c r="AC7" i="5"/>
  <c r="AC30" i="5"/>
  <c r="AC26" i="5"/>
  <c r="AC22" i="5"/>
  <c r="AC18" i="5"/>
  <c r="AC14" i="5"/>
  <c r="AC10" i="5"/>
  <c r="AC6" i="5"/>
  <c r="AC29" i="5"/>
  <c r="AC25" i="5"/>
  <c r="AC21" i="5"/>
  <c r="AC17" i="5"/>
  <c r="AC13" i="5"/>
  <c r="AC9" i="5"/>
  <c r="AC28" i="5"/>
  <c r="AC12" i="5"/>
  <c r="AC24" i="5"/>
  <c r="AC8" i="5"/>
  <c r="AC20" i="5"/>
  <c r="AC16" i="5"/>
  <c r="J30" i="4"/>
  <c r="J8" i="4"/>
  <c r="J12" i="4"/>
  <c r="J16" i="4"/>
  <c r="J20" i="4"/>
  <c r="J24" i="4"/>
  <c r="J28" i="4"/>
  <c r="J7" i="4"/>
  <c r="J11" i="4"/>
  <c r="J15" i="4"/>
  <c r="J19" i="4"/>
  <c r="J23" i="4"/>
  <c r="J27" i="4"/>
  <c r="J6" i="4"/>
  <c r="J10" i="4"/>
  <c r="J14" i="4"/>
  <c r="J18" i="4"/>
  <c r="J22" i="4"/>
  <c r="J26" i="4"/>
  <c r="J17" i="4"/>
  <c r="J13" i="4"/>
  <c r="J29" i="4"/>
  <c r="J21" i="4"/>
  <c r="J9" i="4"/>
  <c r="J25" i="4"/>
  <c r="AF30" i="8"/>
  <c r="T40" i="8"/>
  <c r="W6" i="5"/>
  <c r="W30" i="5"/>
  <c r="W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N27" i="6"/>
  <c r="N23" i="6"/>
  <c r="N19" i="6"/>
  <c r="N15" i="6"/>
  <c r="N11" i="6"/>
  <c r="N7" i="6"/>
  <c r="N30" i="6"/>
  <c r="N26" i="6"/>
  <c r="N22" i="6"/>
  <c r="N18" i="6"/>
  <c r="N14" i="6"/>
  <c r="N10" i="6"/>
  <c r="N6" i="6"/>
  <c r="N29" i="6"/>
  <c r="N25" i="6"/>
  <c r="N21" i="6"/>
  <c r="N17" i="6"/>
  <c r="N13" i="6"/>
  <c r="N9" i="6"/>
  <c r="N28" i="6"/>
  <c r="N12" i="6"/>
  <c r="N24" i="6"/>
  <c r="N8" i="6"/>
  <c r="N20" i="6"/>
  <c r="N16" i="6"/>
  <c r="I30" i="4"/>
  <c r="I26" i="4"/>
  <c r="I22" i="4"/>
  <c r="I18" i="4"/>
  <c r="I14" i="4"/>
  <c r="I10" i="4"/>
  <c r="I6" i="4"/>
  <c r="I28" i="4"/>
  <c r="I20" i="4"/>
  <c r="I16" i="4"/>
  <c r="I27" i="4"/>
  <c r="I23" i="4"/>
  <c r="I19" i="4"/>
  <c r="I15" i="4"/>
  <c r="I11" i="4"/>
  <c r="I7" i="4"/>
  <c r="I29" i="4"/>
  <c r="I25" i="4"/>
  <c r="I21" i="4"/>
  <c r="I17" i="4"/>
  <c r="I13" i="4"/>
  <c r="I9" i="4"/>
  <c r="I24" i="4"/>
  <c r="I12" i="4"/>
  <c r="I8" i="4"/>
  <c r="AD30" i="5"/>
  <c r="AD22" i="5"/>
  <c r="AD18" i="5"/>
  <c r="AD14" i="5"/>
  <c r="AD10" i="5"/>
  <c r="AD29" i="5"/>
  <c r="AD25" i="5"/>
  <c r="AD21" i="5"/>
  <c r="AD17" i="5"/>
  <c r="AD26" i="5"/>
  <c r="AD6" i="5"/>
  <c r="AD13" i="5"/>
  <c r="AD9" i="5"/>
  <c r="AD7" i="5"/>
  <c r="AD11" i="5"/>
  <c r="AD15" i="5"/>
  <c r="AD19" i="5"/>
  <c r="AD23" i="5"/>
  <c r="AD27" i="5"/>
  <c r="AD28" i="5"/>
  <c r="AD8" i="5"/>
  <c r="AD16" i="5"/>
  <c r="AD24" i="5"/>
  <c r="AD20" i="5"/>
  <c r="AD12" i="5"/>
  <c r="AJ19" i="8"/>
  <c r="AG19" i="8"/>
  <c r="AK19" i="8" s="1"/>
  <c r="V17" i="12"/>
  <c r="D21" i="3" s="1"/>
  <c r="R5" i="5"/>
  <c r="AG5" i="6"/>
  <c r="X43" i="8"/>
  <c r="U43" i="8"/>
  <c r="Y43" i="8" s="1"/>
  <c r="AF28" i="4"/>
  <c r="AF24" i="4"/>
  <c r="AF20" i="4"/>
  <c r="AF16" i="4"/>
  <c r="AF12" i="4"/>
  <c r="AF8" i="4"/>
  <c r="AF6" i="4"/>
  <c r="AF10" i="4"/>
  <c r="AF14" i="4"/>
  <c r="AF18" i="4"/>
  <c r="AF22" i="4"/>
  <c r="AF17" i="4"/>
  <c r="AF27" i="4"/>
  <c r="AF29" i="4"/>
  <c r="AF30" i="4"/>
  <c r="AF9" i="4"/>
  <c r="AF26" i="4"/>
  <c r="AF13" i="4"/>
  <c r="AF21" i="4"/>
  <c r="AF25" i="4"/>
  <c r="AF7" i="4"/>
  <c r="AF15" i="4"/>
  <c r="AF23" i="4"/>
  <c r="AF11" i="4"/>
  <c r="AF19" i="4"/>
  <c r="H22" i="8"/>
  <c r="AB7" i="5"/>
  <c r="AB6" i="5"/>
  <c r="AB8" i="5"/>
  <c r="AB9" i="5"/>
  <c r="AB10" i="5"/>
  <c r="AB11" i="5"/>
  <c r="AB12" i="5"/>
  <c r="AB13" i="5"/>
  <c r="AB14" i="5"/>
  <c r="AB15" i="5"/>
  <c r="AB16" i="5"/>
  <c r="AB17" i="5"/>
  <c r="AB18" i="5"/>
  <c r="AB19" i="5"/>
  <c r="AB20" i="5"/>
  <c r="AB21" i="5"/>
  <c r="AB22" i="5"/>
  <c r="AB23" i="5"/>
  <c r="AB24" i="5"/>
  <c r="AB25" i="5"/>
  <c r="AB26" i="5"/>
  <c r="AB27" i="5"/>
  <c r="AB28" i="5"/>
  <c r="AB29" i="5"/>
  <c r="AB30" i="5"/>
  <c r="X18" i="6"/>
  <c r="X14" i="6"/>
  <c r="X10" i="6"/>
  <c r="X6" i="6"/>
  <c r="X17" i="6"/>
  <c r="X13" i="6"/>
  <c r="X9" i="6"/>
  <c r="X16" i="6"/>
  <c r="X7" i="6"/>
  <c r="X19" i="6"/>
  <c r="X15" i="6"/>
  <c r="X12" i="6"/>
  <c r="X8" i="6"/>
  <c r="X11" i="6"/>
  <c r="X28" i="6"/>
  <c r="X24" i="6"/>
  <c r="X20" i="6"/>
  <c r="X27" i="6"/>
  <c r="X23" i="6"/>
  <c r="X30" i="6"/>
  <c r="X26" i="6"/>
  <c r="X22" i="6"/>
  <c r="X21" i="6"/>
  <c r="X25" i="6"/>
  <c r="X29" i="6"/>
  <c r="AJ24" i="8"/>
  <c r="AG24" i="8"/>
  <c r="AK24" i="8" s="1"/>
  <c r="AG28" i="8"/>
  <c r="AK28" i="8" s="1"/>
  <c r="X25" i="12"/>
  <c r="F29" i="3" s="1"/>
  <c r="N15" i="12"/>
  <c r="W21" i="12"/>
  <c r="E25" i="3" s="1"/>
  <c r="V5" i="6"/>
  <c r="AF64" i="9"/>
  <c r="F64" i="9" s="1"/>
  <c r="N64" i="9" s="1"/>
  <c r="AF52" i="9"/>
  <c r="F52" i="9" s="1"/>
  <c r="N52" i="9" s="1"/>
  <c r="N9" i="4"/>
  <c r="N13" i="4"/>
  <c r="N17" i="4"/>
  <c r="N21" i="4"/>
  <c r="N25" i="4"/>
  <c r="N29" i="4"/>
  <c r="N8" i="4"/>
  <c r="N12" i="4"/>
  <c r="N16" i="4"/>
  <c r="N20" i="4"/>
  <c r="N24" i="4"/>
  <c r="N28" i="4"/>
  <c r="N7" i="4"/>
  <c r="N11" i="4"/>
  <c r="N15" i="4"/>
  <c r="N19" i="4"/>
  <c r="N23" i="4"/>
  <c r="N27" i="4"/>
  <c r="N30" i="4"/>
  <c r="N10" i="4"/>
  <c r="N26" i="4"/>
  <c r="N6" i="4"/>
  <c r="N22" i="4"/>
  <c r="N14" i="4"/>
  <c r="N18" i="4"/>
  <c r="AI46" i="8"/>
  <c r="AF46" i="8"/>
  <c r="N26" i="5"/>
  <c r="N22" i="5"/>
  <c r="N25" i="5"/>
  <c r="N9" i="5"/>
  <c r="N30" i="5"/>
  <c r="N18" i="5"/>
  <c r="N14" i="5"/>
  <c r="N10" i="5"/>
  <c r="N29" i="5"/>
  <c r="N21" i="5"/>
  <c r="N17" i="5"/>
  <c r="N13" i="5"/>
  <c r="N28" i="5"/>
  <c r="N6" i="5"/>
  <c r="N7" i="5"/>
  <c r="N23" i="5"/>
  <c r="N8" i="5"/>
  <c r="N16" i="5"/>
  <c r="N24" i="5"/>
  <c r="N11" i="5"/>
  <c r="N27" i="5"/>
  <c r="N15" i="5"/>
  <c r="N12" i="5"/>
  <c r="N20" i="5"/>
  <c r="N19" i="5"/>
  <c r="AI9" i="8"/>
  <c r="AF9" i="8"/>
  <c r="W30" i="8"/>
  <c r="T30" i="8"/>
  <c r="AF5" i="6"/>
  <c r="W31" i="12"/>
  <c r="E35" i="3" s="1"/>
  <c r="X31" i="8"/>
  <c r="U31" i="8"/>
  <c r="Y31" i="8" s="1"/>
  <c r="E5" i="6"/>
  <c r="W4" i="12"/>
  <c r="E8" i="3" s="1"/>
  <c r="O2" i="12"/>
  <c r="S2" i="12" s="1"/>
  <c r="C5" i="7" s="1"/>
  <c r="AE41" i="9"/>
  <c r="AE40" i="9"/>
  <c r="AE61" i="9"/>
  <c r="E28" i="4"/>
  <c r="E24" i="4"/>
  <c r="E20" i="4"/>
  <c r="E16" i="4"/>
  <c r="E12" i="4"/>
  <c r="E8" i="4"/>
  <c r="E30" i="4"/>
  <c r="E18" i="4"/>
  <c r="E25" i="4"/>
  <c r="E21" i="4"/>
  <c r="E17" i="4"/>
  <c r="E13" i="4"/>
  <c r="E9" i="4"/>
  <c r="E27" i="4"/>
  <c r="E23" i="4"/>
  <c r="E19" i="4"/>
  <c r="E15" i="4"/>
  <c r="E11" i="4"/>
  <c r="E7" i="4"/>
  <c r="E26" i="4"/>
  <c r="E22" i="4"/>
  <c r="E14" i="4"/>
  <c r="E10" i="4"/>
  <c r="E6" i="4"/>
  <c r="E29" i="4"/>
  <c r="O32" i="12"/>
  <c r="S32" i="12" s="1"/>
  <c r="X7" i="5"/>
  <c r="X6" i="5"/>
  <c r="X8" i="5"/>
  <c r="X9" i="5"/>
  <c r="X10" i="5"/>
  <c r="X11" i="5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X28" i="5"/>
  <c r="X29" i="5"/>
  <c r="X30" i="5"/>
  <c r="H7" i="5"/>
  <c r="H6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N3" i="12"/>
  <c r="N10" i="12"/>
  <c r="AJ11" i="8"/>
  <c r="AG11" i="8"/>
  <c r="AK11" i="8" s="1"/>
  <c r="AF68" i="9"/>
  <c r="F68" i="9" s="1"/>
  <c r="N68" i="9" s="1"/>
  <c r="AF42" i="9"/>
  <c r="F42" i="9" s="1"/>
  <c r="N42" i="9" s="1"/>
  <c r="AF26" i="8"/>
  <c r="I19" i="8"/>
  <c r="M19" i="8" s="1"/>
  <c r="U24" i="8"/>
  <c r="Y24" i="8" s="1"/>
  <c r="U11" i="8"/>
  <c r="Y11" i="8" s="1"/>
  <c r="I35" i="8"/>
  <c r="M35" i="8" s="1"/>
  <c r="AF45" i="8"/>
  <c r="I13" i="8"/>
  <c r="M13" i="8" s="1"/>
  <c r="AG26" i="4"/>
  <c r="AG22" i="4"/>
  <c r="AG18" i="4"/>
  <c r="AG14" i="4"/>
  <c r="AG10" i="4"/>
  <c r="AG6" i="4"/>
  <c r="AG24" i="4"/>
  <c r="AG16" i="4"/>
  <c r="AG8" i="4"/>
  <c r="AG30" i="4"/>
  <c r="AG29" i="4"/>
  <c r="AG25" i="4"/>
  <c r="AG21" i="4"/>
  <c r="AG17" i="4"/>
  <c r="AG13" i="4"/>
  <c r="AG9" i="4"/>
  <c r="AG28" i="4"/>
  <c r="AG20" i="4"/>
  <c r="AG12" i="4"/>
  <c r="AG27" i="4"/>
  <c r="AG23" i="4"/>
  <c r="AG19" i="4"/>
  <c r="AG15" i="4"/>
  <c r="AG11" i="4"/>
  <c r="AG7" i="4"/>
  <c r="AE30" i="5"/>
  <c r="AE6" i="5"/>
  <c r="AE7" i="5"/>
  <c r="AE8" i="5"/>
  <c r="AE9" i="5"/>
  <c r="AE10" i="5"/>
  <c r="AE11" i="5"/>
  <c r="AE12" i="5"/>
  <c r="AE13" i="5"/>
  <c r="AE14" i="5"/>
  <c r="AE15" i="5"/>
  <c r="AE16" i="5"/>
  <c r="AE17" i="5"/>
  <c r="AE18" i="5"/>
  <c r="AE19" i="5"/>
  <c r="AE20" i="5"/>
  <c r="AE21" i="5"/>
  <c r="AE22" i="5"/>
  <c r="AE23" i="5"/>
  <c r="AE24" i="5"/>
  <c r="AE25" i="5"/>
  <c r="AE26" i="5"/>
  <c r="AE27" i="5"/>
  <c r="AE28" i="5"/>
  <c r="AE29" i="5"/>
  <c r="AG41" i="8"/>
  <c r="AK41" i="8" s="1"/>
  <c r="U28" i="4"/>
  <c r="U24" i="4"/>
  <c r="U20" i="4"/>
  <c r="U16" i="4"/>
  <c r="U12" i="4"/>
  <c r="U8" i="4"/>
  <c r="U30" i="4"/>
  <c r="U18" i="4"/>
  <c r="U29" i="4"/>
  <c r="U25" i="4"/>
  <c r="U21" i="4"/>
  <c r="U17" i="4"/>
  <c r="U13" i="4"/>
  <c r="U9" i="4"/>
  <c r="U27" i="4"/>
  <c r="U23" i="4"/>
  <c r="U19" i="4"/>
  <c r="U15" i="4"/>
  <c r="U11" i="4"/>
  <c r="U7" i="4"/>
  <c r="U26" i="4"/>
  <c r="U22" i="4"/>
  <c r="U14" i="4"/>
  <c r="U10" i="4"/>
  <c r="U6" i="4"/>
  <c r="T16" i="6"/>
  <c r="T12" i="6"/>
  <c r="T8" i="6"/>
  <c r="T19" i="6"/>
  <c r="T15" i="6"/>
  <c r="T11" i="6"/>
  <c r="T7" i="6"/>
  <c r="T18" i="6"/>
  <c r="T6" i="6"/>
  <c r="T17" i="6"/>
  <c r="T13" i="6"/>
  <c r="T9" i="6"/>
  <c r="T14" i="6"/>
  <c r="T10" i="6"/>
  <c r="T29" i="6"/>
  <c r="T25" i="6"/>
  <c r="T21" i="6"/>
  <c r="T28" i="6"/>
  <c r="T24" i="6"/>
  <c r="T20" i="6"/>
  <c r="T27" i="6"/>
  <c r="T23" i="6"/>
  <c r="T26" i="6"/>
  <c r="T30" i="6"/>
  <c r="T22" i="6"/>
  <c r="H30" i="8"/>
  <c r="Y6" i="6"/>
  <c r="Y30" i="6"/>
  <c r="Y7" i="6"/>
  <c r="Y8" i="6"/>
  <c r="Y9" i="6"/>
  <c r="Y10" i="6"/>
  <c r="Y11" i="6"/>
  <c r="Y12" i="6"/>
  <c r="Y13" i="6"/>
  <c r="Y14" i="6"/>
  <c r="Y15" i="6"/>
  <c r="Y16" i="6"/>
  <c r="Y17" i="6"/>
  <c r="Y18" i="6"/>
  <c r="Y19" i="6"/>
  <c r="Y20" i="6"/>
  <c r="Y22" i="6"/>
  <c r="Y24" i="6"/>
  <c r="Y26" i="6"/>
  <c r="Y28" i="6"/>
  <c r="Y21" i="6"/>
  <c r="Y23" i="6"/>
  <c r="Y25" i="6"/>
  <c r="Y27" i="6"/>
  <c r="Y29" i="6"/>
  <c r="U17" i="8"/>
  <c r="Y17" i="8" s="1"/>
  <c r="T13" i="8"/>
  <c r="AF12" i="8"/>
  <c r="AJ23" i="8"/>
  <c r="AG23" i="8"/>
  <c r="AK23" i="8" s="1"/>
  <c r="AF31" i="8"/>
  <c r="V15" i="12"/>
  <c r="D19" i="3" s="1"/>
  <c r="P5" i="5"/>
  <c r="K34" i="8"/>
  <c r="H34" i="8"/>
  <c r="W45" i="8"/>
  <c r="T45" i="8"/>
  <c r="AA28" i="4"/>
  <c r="AA24" i="4"/>
  <c r="AA20" i="4"/>
  <c r="AA16" i="4"/>
  <c r="AA12" i="4"/>
  <c r="AA8" i="4"/>
  <c r="AA27" i="4"/>
  <c r="AA23" i="4"/>
  <c r="AA19" i="4"/>
  <c r="AA15" i="4"/>
  <c r="AA11" i="4"/>
  <c r="AA7" i="4"/>
  <c r="AA30" i="4"/>
  <c r="AA26" i="4"/>
  <c r="AA22" i="4"/>
  <c r="AA18" i="4"/>
  <c r="AA14" i="4"/>
  <c r="AA10" i="4"/>
  <c r="AA6" i="4"/>
  <c r="AA21" i="4"/>
  <c r="AA17" i="4"/>
  <c r="AA29" i="4"/>
  <c r="AA13" i="4"/>
  <c r="AA9" i="4"/>
  <c r="AA25" i="4"/>
  <c r="J5" i="6"/>
  <c r="W9" i="12"/>
  <c r="E13" i="3" s="1"/>
  <c r="AA6" i="5"/>
  <c r="AA29" i="5"/>
  <c r="AA25" i="5"/>
  <c r="AA21" i="5"/>
  <c r="AA17" i="5"/>
  <c r="AA13" i="5"/>
  <c r="AA9" i="5"/>
  <c r="AA27" i="5"/>
  <c r="AA23" i="5"/>
  <c r="AA30" i="5"/>
  <c r="AA26" i="5"/>
  <c r="AA22" i="5"/>
  <c r="AA18" i="5"/>
  <c r="AA10" i="5"/>
  <c r="AA28" i="5"/>
  <c r="AA24" i="5"/>
  <c r="AA20" i="5"/>
  <c r="AA16" i="5"/>
  <c r="AA12" i="5"/>
  <c r="AA8" i="5"/>
  <c r="AA19" i="5"/>
  <c r="AA15" i="5"/>
  <c r="AA11" i="5"/>
  <c r="AA7" i="5"/>
  <c r="AA14" i="5"/>
  <c r="O30" i="4"/>
  <c r="O26" i="4"/>
  <c r="O22" i="4"/>
  <c r="O18" i="4"/>
  <c r="O14" i="4"/>
  <c r="O10" i="4"/>
  <c r="O6" i="4"/>
  <c r="O29" i="4"/>
  <c r="O25" i="4"/>
  <c r="O21" i="4"/>
  <c r="O17" i="4"/>
  <c r="O13" i="4"/>
  <c r="O9" i="4"/>
  <c r="O28" i="4"/>
  <c r="O24" i="4"/>
  <c r="O20" i="4"/>
  <c r="O16" i="4"/>
  <c r="O12" i="4"/>
  <c r="O8" i="4"/>
  <c r="O19" i="4"/>
  <c r="O15" i="4"/>
  <c r="O27" i="4"/>
  <c r="O11" i="4"/>
  <c r="O7" i="4"/>
  <c r="O23" i="4"/>
  <c r="AD5" i="6"/>
  <c r="W29" i="12"/>
  <c r="E33" i="3" s="1"/>
  <c r="X38" i="8"/>
  <c r="U38" i="8"/>
  <c r="Y38" i="8" s="1"/>
  <c r="G29" i="4"/>
  <c r="G25" i="4"/>
  <c r="G21" i="4"/>
  <c r="G17" i="4"/>
  <c r="G13" i="4"/>
  <c r="G9" i="4"/>
  <c r="G28" i="4"/>
  <c r="G24" i="4"/>
  <c r="G20" i="4"/>
  <c r="G16" i="4"/>
  <c r="G12" i="4"/>
  <c r="G8" i="4"/>
  <c r="G27" i="4"/>
  <c r="G23" i="4"/>
  <c r="G19" i="4"/>
  <c r="G15" i="4"/>
  <c r="G11" i="4"/>
  <c r="G7" i="4"/>
  <c r="G26" i="4"/>
  <c r="G10" i="4"/>
  <c r="G22" i="4"/>
  <c r="G6" i="4"/>
  <c r="G18" i="4"/>
  <c r="G30" i="4"/>
  <c r="G14" i="4"/>
  <c r="M28" i="4"/>
  <c r="M24" i="4"/>
  <c r="M20" i="4"/>
  <c r="M16" i="4"/>
  <c r="M12" i="4"/>
  <c r="M8" i="4"/>
  <c r="M26" i="4"/>
  <c r="M22" i="4"/>
  <c r="M18" i="4"/>
  <c r="M14" i="4"/>
  <c r="M10" i="4"/>
  <c r="M6" i="4"/>
  <c r="M29" i="4"/>
  <c r="M27" i="4"/>
  <c r="M23" i="4"/>
  <c r="M19" i="4"/>
  <c r="M15" i="4"/>
  <c r="M11" i="4"/>
  <c r="M7" i="4"/>
  <c r="M30" i="4"/>
  <c r="M25" i="4"/>
  <c r="M21" i="4"/>
  <c r="M17" i="4"/>
  <c r="M13" i="4"/>
  <c r="M9" i="4"/>
  <c r="Z30" i="5"/>
  <c r="Z26" i="5"/>
  <c r="Z22" i="5"/>
  <c r="Z18" i="5"/>
  <c r="Z14" i="5"/>
  <c r="Z10" i="5"/>
  <c r="Z6" i="5"/>
  <c r="Z29" i="5"/>
  <c r="Z25" i="5"/>
  <c r="Z21" i="5"/>
  <c r="Z17" i="5"/>
  <c r="Z13" i="5"/>
  <c r="Z9" i="5"/>
  <c r="Z28" i="5"/>
  <c r="Z20" i="5"/>
  <c r="Z12" i="5"/>
  <c r="Z27" i="5"/>
  <c r="Z19" i="5"/>
  <c r="Z11" i="5"/>
  <c r="Z24" i="5"/>
  <c r="Z16" i="5"/>
  <c r="Z8" i="5"/>
  <c r="Z15" i="5"/>
  <c r="Z7" i="5"/>
  <c r="Z23" i="5"/>
  <c r="W26" i="8"/>
  <c r="T26" i="8"/>
  <c r="D30" i="4"/>
  <c r="D26" i="4"/>
  <c r="D22" i="4"/>
  <c r="D18" i="4"/>
  <c r="D14" i="4"/>
  <c r="D10" i="4"/>
  <c r="D6" i="4"/>
  <c r="D7" i="4"/>
  <c r="D11" i="4"/>
  <c r="D28" i="4"/>
  <c r="D9" i="4"/>
  <c r="D13" i="4"/>
  <c r="D17" i="4"/>
  <c r="D21" i="4"/>
  <c r="D25" i="4"/>
  <c r="D8" i="4"/>
  <c r="D12" i="4"/>
  <c r="D16" i="4"/>
  <c r="D20" i="4"/>
  <c r="D24" i="4"/>
  <c r="D19" i="4"/>
  <c r="D23" i="4"/>
  <c r="D27" i="4"/>
  <c r="D29" i="4"/>
  <c r="D15" i="4"/>
  <c r="H28" i="4"/>
  <c r="H24" i="4"/>
  <c r="H20" i="4"/>
  <c r="H16" i="4"/>
  <c r="H12" i="4"/>
  <c r="H8" i="4"/>
  <c r="H27" i="4"/>
  <c r="H25" i="4"/>
  <c r="H30" i="4"/>
  <c r="H13" i="4"/>
  <c r="H7" i="4"/>
  <c r="H11" i="4"/>
  <c r="H15" i="4"/>
  <c r="H19" i="4"/>
  <c r="H23" i="4"/>
  <c r="H6" i="4"/>
  <c r="H10" i="4"/>
  <c r="H14" i="4"/>
  <c r="H18" i="4"/>
  <c r="H22" i="4"/>
  <c r="H26" i="4"/>
  <c r="H21" i="4"/>
  <c r="H9" i="4"/>
  <c r="H17" i="4"/>
  <c r="H29" i="4"/>
  <c r="AB5" i="6"/>
  <c r="W27" i="12"/>
  <c r="E31" i="3" s="1"/>
  <c r="X26" i="12"/>
  <c r="F30" i="3" s="1"/>
  <c r="AA5" i="7"/>
  <c r="X28" i="4"/>
  <c r="X24" i="4"/>
  <c r="X20" i="4"/>
  <c r="X16" i="4"/>
  <c r="X12" i="4"/>
  <c r="X8" i="4"/>
  <c r="X27" i="4"/>
  <c r="X17" i="4"/>
  <c r="X25" i="4"/>
  <c r="X13" i="4"/>
  <c r="X30" i="4"/>
  <c r="X21" i="4"/>
  <c r="X7" i="4"/>
  <c r="X11" i="4"/>
  <c r="X15" i="4"/>
  <c r="X19" i="4"/>
  <c r="X23" i="4"/>
  <c r="X9" i="4"/>
  <c r="X10" i="4"/>
  <c r="X18" i="4"/>
  <c r="X26" i="4"/>
  <c r="X6" i="4"/>
  <c r="X14" i="4"/>
  <c r="X22" i="4"/>
  <c r="X29" i="4"/>
  <c r="T26" i="4"/>
  <c r="T22" i="4"/>
  <c r="T18" i="4"/>
  <c r="T14" i="4"/>
  <c r="T10" i="4"/>
  <c r="T6" i="4"/>
  <c r="T30" i="4"/>
  <c r="T15" i="4"/>
  <c r="T7" i="4"/>
  <c r="T11" i="4"/>
  <c r="T28" i="4"/>
  <c r="T9" i="4"/>
  <c r="T13" i="4"/>
  <c r="T17" i="4"/>
  <c r="T21" i="4"/>
  <c r="T25" i="4"/>
  <c r="T12" i="4"/>
  <c r="T20" i="4"/>
  <c r="T29" i="4"/>
  <c r="T23" i="4"/>
  <c r="T8" i="4"/>
  <c r="T16" i="4"/>
  <c r="T27" i="4"/>
  <c r="T24" i="4"/>
  <c r="T19" i="4"/>
  <c r="Q28" i="5"/>
  <c r="Q24" i="5"/>
  <c r="Q20" i="5"/>
  <c r="Q16" i="5"/>
  <c r="Q12" i="5"/>
  <c r="Q8" i="5"/>
  <c r="Q27" i="5"/>
  <c r="Q23" i="5"/>
  <c r="Q19" i="5"/>
  <c r="Q15" i="5"/>
  <c r="Q11" i="5"/>
  <c r="Q7" i="5"/>
  <c r="Q30" i="5"/>
  <c r="Q26" i="5"/>
  <c r="Q22" i="5"/>
  <c r="Q18" i="5"/>
  <c r="Q14" i="5"/>
  <c r="Q10" i="5"/>
  <c r="Q6" i="5"/>
  <c r="Q17" i="5"/>
  <c r="Q29" i="5"/>
  <c r="Q13" i="5"/>
  <c r="Q25" i="5"/>
  <c r="Q9" i="5"/>
  <c r="Q21" i="5"/>
  <c r="AI48" i="8"/>
  <c r="AF48" i="8"/>
  <c r="AI27" i="8"/>
  <c r="AF27" i="8"/>
  <c r="K30" i="4"/>
  <c r="K26" i="4"/>
  <c r="K22" i="4"/>
  <c r="K18" i="4"/>
  <c r="K14" i="4"/>
  <c r="K10" i="4"/>
  <c r="K6" i="4"/>
  <c r="K29" i="4"/>
  <c r="K25" i="4"/>
  <c r="K21" i="4"/>
  <c r="K17" i="4"/>
  <c r="K13" i="4"/>
  <c r="K9" i="4"/>
  <c r="K28" i="4"/>
  <c r="K24" i="4"/>
  <c r="K20" i="4"/>
  <c r="K16" i="4"/>
  <c r="K12" i="4"/>
  <c r="K8" i="4"/>
  <c r="K19" i="4"/>
  <c r="K15" i="4"/>
  <c r="K27" i="4"/>
  <c r="K11" i="4"/>
  <c r="K23" i="4"/>
  <c r="K7" i="4"/>
  <c r="T7" i="5"/>
  <c r="T6" i="5"/>
  <c r="T30" i="5"/>
  <c r="T25" i="5"/>
  <c r="T8" i="5"/>
  <c r="T10" i="5"/>
  <c r="T12" i="5"/>
  <c r="T14" i="5"/>
  <c r="T16" i="5"/>
  <c r="T18" i="5"/>
  <c r="T20" i="5"/>
  <c r="T22" i="5"/>
  <c r="T24" i="5"/>
  <c r="T26" i="5"/>
  <c r="T28" i="5"/>
  <c r="T9" i="5"/>
  <c r="T11" i="5"/>
  <c r="T13" i="5"/>
  <c r="T15" i="5"/>
  <c r="T17" i="5"/>
  <c r="T19" i="5"/>
  <c r="T21" i="5"/>
  <c r="T23" i="5"/>
  <c r="T27" i="5"/>
  <c r="T29" i="5"/>
  <c r="M5" i="6"/>
  <c r="W12" i="12"/>
  <c r="E16" i="3" s="1"/>
  <c r="L27" i="8"/>
  <c r="I27" i="8"/>
  <c r="M27" i="8" s="1"/>
  <c r="AF67" i="9"/>
  <c r="F67" i="9" s="1"/>
  <c r="N67" i="9" s="1"/>
  <c r="AE49" i="9"/>
  <c r="K5" i="5"/>
  <c r="V10" i="12"/>
  <c r="D14" i="3" s="1"/>
  <c r="Q5" i="7"/>
  <c r="X16" i="12"/>
  <c r="F20" i="3" s="1"/>
  <c r="W26" i="12"/>
  <c r="E30" i="3" s="1"/>
  <c r="AA5" i="6"/>
  <c r="W5" i="12"/>
  <c r="E9" i="3" s="1"/>
  <c r="F5" i="6"/>
  <c r="AF66" i="9"/>
  <c r="F66" i="9" s="1"/>
  <c r="N66" i="9" s="1"/>
  <c r="I6" i="6"/>
  <c r="I30" i="6"/>
  <c r="I7" i="6"/>
  <c r="I8" i="6"/>
  <c r="I9" i="6"/>
  <c r="I10" i="6"/>
  <c r="I11" i="6"/>
  <c r="I12" i="6"/>
  <c r="I13" i="6"/>
  <c r="I14" i="6"/>
  <c r="I15" i="6"/>
  <c r="I16" i="6"/>
  <c r="I17" i="6"/>
  <c r="I18" i="6"/>
  <c r="I21" i="6"/>
  <c r="I23" i="6"/>
  <c r="I25" i="6"/>
  <c r="I27" i="6"/>
  <c r="I29" i="6"/>
  <c r="I19" i="6"/>
  <c r="I20" i="6"/>
  <c r="I22" i="6"/>
  <c r="I24" i="6"/>
  <c r="I26" i="6"/>
  <c r="I28" i="6"/>
  <c r="T12" i="8"/>
  <c r="O31" i="12"/>
  <c r="S31" i="12" s="1"/>
  <c r="G6" i="5"/>
  <c r="G30" i="5"/>
  <c r="G8" i="5"/>
  <c r="G12" i="5"/>
  <c r="G16" i="5"/>
  <c r="G20" i="5"/>
  <c r="G24" i="5"/>
  <c r="G28" i="5"/>
  <c r="G9" i="5"/>
  <c r="G13" i="5"/>
  <c r="G17" i="5"/>
  <c r="G21" i="5"/>
  <c r="G25" i="5"/>
  <c r="G29" i="5"/>
  <c r="G7" i="5"/>
  <c r="G15" i="5"/>
  <c r="G19" i="5"/>
  <c r="G23" i="5"/>
  <c r="G10" i="5"/>
  <c r="G14" i="5"/>
  <c r="G18" i="5"/>
  <c r="G22" i="5"/>
  <c r="G26" i="5"/>
  <c r="G11" i="5"/>
  <c r="G27" i="5"/>
  <c r="I48" i="8"/>
  <c r="M48" i="8" s="1"/>
  <c r="AJ15" i="8"/>
  <c r="AG15" i="8"/>
  <c r="AK15" i="8" s="1"/>
  <c r="AG17" i="8"/>
  <c r="AK17" i="8" s="1"/>
  <c r="F28" i="5"/>
  <c r="F24" i="5"/>
  <c r="F27" i="5"/>
  <c r="F23" i="5"/>
  <c r="F19" i="5"/>
  <c r="F11" i="5"/>
  <c r="F7" i="5"/>
  <c r="F20" i="5"/>
  <c r="F16" i="5"/>
  <c r="F12" i="5"/>
  <c r="F8" i="5"/>
  <c r="F15" i="5"/>
  <c r="F10" i="5"/>
  <c r="F14" i="5"/>
  <c r="F18" i="5"/>
  <c r="F22" i="5"/>
  <c r="F26" i="5"/>
  <c r="F9" i="5"/>
  <c r="F13" i="5"/>
  <c r="F17" i="5"/>
  <c r="F21" i="5"/>
  <c r="F25" i="5"/>
  <c r="F6" i="5"/>
  <c r="F29" i="5"/>
  <c r="F30" i="5"/>
  <c r="AF34" i="8"/>
  <c r="X36" i="8"/>
  <c r="U36" i="8"/>
  <c r="Y36" i="8" s="1"/>
  <c r="L38" i="8"/>
  <c r="I38" i="8"/>
  <c r="M38" i="8" s="1"/>
  <c r="I39" i="8"/>
  <c r="M39" i="8" s="1"/>
  <c r="J28" i="5"/>
  <c r="J24" i="5"/>
  <c r="J20" i="5"/>
  <c r="J16" i="5"/>
  <c r="J12" i="5"/>
  <c r="J8" i="5"/>
  <c r="J27" i="5"/>
  <c r="J23" i="5"/>
  <c r="J19" i="5"/>
  <c r="J15" i="5"/>
  <c r="J11" i="5"/>
  <c r="J7" i="5"/>
  <c r="J30" i="5"/>
  <c r="J26" i="5"/>
  <c r="J22" i="5"/>
  <c r="J18" i="5"/>
  <c r="J14" i="5"/>
  <c r="J10" i="5"/>
  <c r="J6" i="5"/>
  <c r="J25" i="5"/>
  <c r="J9" i="5"/>
  <c r="J21" i="5"/>
  <c r="J17" i="5"/>
  <c r="J13" i="5"/>
  <c r="J29" i="5"/>
  <c r="L11" i="8"/>
  <c r="I11" i="8"/>
  <c r="M11" i="8" s="1"/>
  <c r="U28" i="8"/>
  <c r="Y28" i="8" s="1"/>
  <c r="M27" i="5"/>
  <c r="M23" i="5"/>
  <c r="M19" i="5"/>
  <c r="M15" i="5"/>
  <c r="M11" i="5"/>
  <c r="M7" i="5"/>
  <c r="M30" i="5"/>
  <c r="M26" i="5"/>
  <c r="M22" i="5"/>
  <c r="M18" i="5"/>
  <c r="M14" i="5"/>
  <c r="M10" i="5"/>
  <c r="M6" i="5"/>
  <c r="M29" i="5"/>
  <c r="M25" i="5"/>
  <c r="M21" i="5"/>
  <c r="M17" i="5"/>
  <c r="M13" i="5"/>
  <c r="M9" i="5"/>
  <c r="M24" i="5"/>
  <c r="M8" i="5"/>
  <c r="M20" i="5"/>
  <c r="M16" i="5"/>
  <c r="M12" i="5"/>
  <c r="M28" i="5"/>
  <c r="AG13" i="8" l="1"/>
  <c r="AK13" i="8" s="1"/>
  <c r="AG22" i="8"/>
  <c r="AK22" i="8" s="1"/>
  <c r="L40" i="8"/>
  <c r="I40" i="8"/>
  <c r="M40" i="8" s="1"/>
  <c r="R7" i="12"/>
  <c r="O7" i="12"/>
  <c r="S7" i="12" s="1"/>
  <c r="X7" i="7"/>
  <c r="X27" i="7"/>
  <c r="X20" i="7"/>
  <c r="X13" i="7"/>
  <c r="X29" i="7"/>
  <c r="X14" i="7"/>
  <c r="X30" i="7"/>
  <c r="AE5" i="6"/>
  <c r="AE13" i="6" s="1"/>
  <c r="F5" i="7"/>
  <c r="X11" i="7"/>
  <c r="X8" i="7"/>
  <c r="X24" i="7"/>
  <c r="X17" i="7"/>
  <c r="X23" i="7"/>
  <c r="X18" i="7"/>
  <c r="V5" i="7"/>
  <c r="V29" i="7" s="1"/>
  <c r="X23" i="12"/>
  <c r="F27" i="3" s="1"/>
  <c r="X24" i="12"/>
  <c r="F28" i="3" s="1"/>
  <c r="Y5" i="7"/>
  <c r="X9" i="8"/>
  <c r="U9" i="8"/>
  <c r="Y9" i="8" s="1"/>
  <c r="X15" i="7"/>
  <c r="X12" i="7"/>
  <c r="X28" i="7"/>
  <c r="X21" i="7"/>
  <c r="X6" i="7"/>
  <c r="O30" i="12"/>
  <c r="S30" i="12" s="1"/>
  <c r="I9" i="8"/>
  <c r="M9" i="8" s="1"/>
  <c r="L9" i="8"/>
  <c r="R22" i="12"/>
  <c r="O22" i="12"/>
  <c r="S22" i="12" s="1"/>
  <c r="X6" i="12"/>
  <c r="F10" i="3" s="1"/>
  <c r="G5" i="7"/>
  <c r="R28" i="12"/>
  <c r="O28" i="12"/>
  <c r="S28" i="12" s="1"/>
  <c r="O18" i="12"/>
  <c r="S18" i="12" s="1"/>
  <c r="X18" i="12" s="1"/>
  <c r="F22" i="3" s="1"/>
  <c r="I5" i="7"/>
  <c r="X8" i="12"/>
  <c r="F12" i="3" s="1"/>
  <c r="X19" i="12"/>
  <c r="F23" i="3" s="1"/>
  <c r="T5" i="7"/>
  <c r="X14" i="12"/>
  <c r="F18" i="3" s="1"/>
  <c r="O5" i="7"/>
  <c r="M6" i="6"/>
  <c r="M30" i="6"/>
  <c r="M21" i="6"/>
  <c r="M23" i="6"/>
  <c r="M25" i="6"/>
  <c r="M27" i="6"/>
  <c r="M29" i="6"/>
  <c r="M7" i="6"/>
  <c r="M8" i="6"/>
  <c r="M9" i="6"/>
  <c r="M10" i="6"/>
  <c r="M11" i="6"/>
  <c r="M19" i="6"/>
  <c r="M24" i="6"/>
  <c r="M18" i="6"/>
  <c r="M13" i="6"/>
  <c r="M15" i="6"/>
  <c r="M17" i="6"/>
  <c r="M22" i="6"/>
  <c r="M12" i="6"/>
  <c r="M14" i="6"/>
  <c r="M16" i="6"/>
  <c r="M20" i="6"/>
  <c r="M28" i="6"/>
  <c r="M26" i="6"/>
  <c r="AG5" i="7"/>
  <c r="X32" i="12"/>
  <c r="F36" i="3" s="1"/>
  <c r="E41" i="9"/>
  <c r="M41" i="9" s="1"/>
  <c r="AF41" i="9"/>
  <c r="F41" i="9" s="1"/>
  <c r="N41" i="9" s="1"/>
  <c r="L22" i="8"/>
  <c r="I22" i="8"/>
  <c r="M22" i="8" s="1"/>
  <c r="AA29" i="6"/>
  <c r="AA10" i="6"/>
  <c r="AA6" i="6"/>
  <c r="AA25" i="6"/>
  <c r="AA21" i="6"/>
  <c r="AA14" i="6"/>
  <c r="AA18" i="6"/>
  <c r="AA20" i="6"/>
  <c r="AA26" i="6"/>
  <c r="AA23" i="6"/>
  <c r="AA30" i="6"/>
  <c r="AA11" i="6"/>
  <c r="AA17" i="6"/>
  <c r="AA22" i="6"/>
  <c r="AA16" i="6"/>
  <c r="AA15" i="6"/>
  <c r="AA7" i="6"/>
  <c r="AA28" i="6"/>
  <c r="AA19" i="6"/>
  <c r="AA24" i="6"/>
  <c r="AA27" i="6"/>
  <c r="AA13" i="6"/>
  <c r="AA12" i="6"/>
  <c r="AA8" i="6"/>
  <c r="AA9" i="6"/>
  <c r="F29" i="7"/>
  <c r="F28" i="7"/>
  <c r="F30" i="7"/>
  <c r="F27" i="7"/>
  <c r="F8" i="7"/>
  <c r="F10" i="7"/>
  <c r="F20" i="7"/>
  <c r="F25" i="7"/>
  <c r="F6" i="7"/>
  <c r="F7" i="7"/>
  <c r="F9" i="7"/>
  <c r="F11" i="7"/>
  <c r="F12" i="7"/>
  <c r="F13" i="7"/>
  <c r="F14" i="7"/>
  <c r="F15" i="7"/>
  <c r="F16" i="7"/>
  <c r="F17" i="7"/>
  <c r="F18" i="7"/>
  <c r="F19" i="7"/>
  <c r="F21" i="7"/>
  <c r="F22" i="7"/>
  <c r="F23" i="7"/>
  <c r="F24" i="7"/>
  <c r="F26" i="7"/>
  <c r="AB16" i="6"/>
  <c r="AB12" i="6"/>
  <c r="AB8" i="6"/>
  <c r="AB18" i="6"/>
  <c r="AB19" i="6"/>
  <c r="AB15" i="6"/>
  <c r="AB11" i="6"/>
  <c r="AB7" i="6"/>
  <c r="AB17" i="6"/>
  <c r="AB14" i="6"/>
  <c r="AB10" i="6"/>
  <c r="AB6" i="6"/>
  <c r="AB13" i="6"/>
  <c r="AB9" i="6"/>
  <c r="AB27" i="6"/>
  <c r="AB23" i="6"/>
  <c r="AB30" i="6"/>
  <c r="AB26" i="6"/>
  <c r="AB22" i="6"/>
  <c r="AB29" i="6"/>
  <c r="AB25" i="6"/>
  <c r="AB21" i="6"/>
  <c r="AB28" i="6"/>
  <c r="AB20" i="6"/>
  <c r="AB24" i="6"/>
  <c r="R3" i="12"/>
  <c r="O3" i="12"/>
  <c r="S3" i="12" s="1"/>
  <c r="AJ46" i="8"/>
  <c r="AG46" i="8"/>
  <c r="AK46" i="8" s="1"/>
  <c r="AG6" i="6"/>
  <c r="AG30" i="6"/>
  <c r="AG26" i="6"/>
  <c r="AG22" i="6"/>
  <c r="AG28" i="6"/>
  <c r="AG24" i="6"/>
  <c r="AG20" i="6"/>
  <c r="AG29" i="6"/>
  <c r="AG25" i="6"/>
  <c r="AG21" i="6"/>
  <c r="AG27" i="6"/>
  <c r="AG23" i="6"/>
  <c r="AG19" i="6"/>
  <c r="AG18" i="6"/>
  <c r="AG12" i="6"/>
  <c r="AG14" i="6"/>
  <c r="AG16" i="6"/>
  <c r="AG7" i="6"/>
  <c r="AG8" i="6"/>
  <c r="AG9" i="6"/>
  <c r="AG10" i="6"/>
  <c r="AG11" i="6"/>
  <c r="AG13" i="6"/>
  <c r="AG15" i="6"/>
  <c r="AG17" i="6"/>
  <c r="AJ30" i="8"/>
  <c r="AG30" i="8"/>
  <c r="AK30" i="8" s="1"/>
  <c r="X42" i="8"/>
  <c r="U42" i="8"/>
  <c r="Y42" i="8" s="1"/>
  <c r="E5" i="7"/>
  <c r="X4" i="12"/>
  <c r="F8" i="3" s="1"/>
  <c r="AF5" i="7"/>
  <c r="X31" i="12"/>
  <c r="F35" i="3" s="1"/>
  <c r="X45" i="8"/>
  <c r="U45" i="8"/>
  <c r="Y45" i="8" s="1"/>
  <c r="P7" i="5"/>
  <c r="P6" i="5"/>
  <c r="P30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X30" i="8"/>
  <c r="U30" i="8"/>
  <c r="Y30" i="8" s="1"/>
  <c r="R15" i="12"/>
  <c r="O15" i="12"/>
  <c r="S15" i="12" s="1"/>
  <c r="X40" i="8"/>
  <c r="U40" i="8"/>
  <c r="Y40" i="8" s="1"/>
  <c r="L44" i="8"/>
  <c r="I44" i="8"/>
  <c r="M44" i="8" s="1"/>
  <c r="S5" i="7"/>
  <c r="X12" i="8"/>
  <c r="U12" i="8"/>
  <c r="Y12" i="8" s="1"/>
  <c r="K6" i="5"/>
  <c r="K29" i="5"/>
  <c r="K25" i="5"/>
  <c r="K21" i="5"/>
  <c r="K17" i="5"/>
  <c r="K13" i="5"/>
  <c r="K9" i="5"/>
  <c r="K27" i="5"/>
  <c r="K23" i="5"/>
  <c r="K18" i="5"/>
  <c r="K14" i="5"/>
  <c r="K10" i="5"/>
  <c r="K28" i="5"/>
  <c r="K24" i="5"/>
  <c r="K20" i="5"/>
  <c r="K16" i="5"/>
  <c r="K12" i="5"/>
  <c r="K8" i="5"/>
  <c r="K19" i="5"/>
  <c r="K15" i="5"/>
  <c r="K11" i="5"/>
  <c r="K7" i="5"/>
  <c r="K30" i="5"/>
  <c r="K26" i="5"/>
  <c r="K22" i="5"/>
  <c r="AA27" i="7"/>
  <c r="AA28" i="7"/>
  <c r="AA30" i="7"/>
  <c r="AA6" i="7"/>
  <c r="AA7" i="7"/>
  <c r="AA8" i="7"/>
  <c r="AA9" i="7"/>
  <c r="AA10" i="7"/>
  <c r="AA11" i="7"/>
  <c r="AA12" i="7"/>
  <c r="AA13" i="7"/>
  <c r="AA14" i="7"/>
  <c r="AA15" i="7"/>
  <c r="AA16" i="7"/>
  <c r="AA17" i="7"/>
  <c r="AA18" i="7"/>
  <c r="AA19" i="7"/>
  <c r="AA20" i="7"/>
  <c r="AA21" i="7"/>
  <c r="AA22" i="7"/>
  <c r="AA23" i="7"/>
  <c r="AA24" i="7"/>
  <c r="AA25" i="7"/>
  <c r="AA26" i="7"/>
  <c r="AA29" i="7"/>
  <c r="AD29" i="6"/>
  <c r="AD25" i="6"/>
  <c r="AD21" i="6"/>
  <c r="AD17" i="6"/>
  <c r="AD13" i="6"/>
  <c r="AD9" i="6"/>
  <c r="AD28" i="6"/>
  <c r="AD24" i="6"/>
  <c r="AD20" i="6"/>
  <c r="AD16" i="6"/>
  <c r="AD12" i="6"/>
  <c r="AD8" i="6"/>
  <c r="AD27" i="6"/>
  <c r="AD23" i="6"/>
  <c r="AD19" i="6"/>
  <c r="AD15" i="6"/>
  <c r="AD11" i="6"/>
  <c r="AD7" i="6"/>
  <c r="AD26" i="6"/>
  <c r="AD10" i="6"/>
  <c r="AD22" i="6"/>
  <c r="AD6" i="6"/>
  <c r="AD18" i="6"/>
  <c r="AD30" i="6"/>
  <c r="AD14" i="6"/>
  <c r="J29" i="6"/>
  <c r="J25" i="6"/>
  <c r="J21" i="6"/>
  <c r="J28" i="6"/>
  <c r="J24" i="6"/>
  <c r="J20" i="6"/>
  <c r="J30" i="6"/>
  <c r="J18" i="6"/>
  <c r="J14" i="6"/>
  <c r="J10" i="6"/>
  <c r="J6" i="6"/>
  <c r="J22" i="6"/>
  <c r="J26" i="6"/>
  <c r="J17" i="6"/>
  <c r="J13" i="6"/>
  <c r="J9" i="6"/>
  <c r="J16" i="6"/>
  <c r="J12" i="6"/>
  <c r="J8" i="6"/>
  <c r="J19" i="6"/>
  <c r="J15" i="6"/>
  <c r="J11" i="6"/>
  <c r="J23" i="6"/>
  <c r="J7" i="6"/>
  <c r="J27" i="6"/>
  <c r="L34" i="8"/>
  <c r="I34" i="8"/>
  <c r="M34" i="8" s="1"/>
  <c r="AJ12" i="8"/>
  <c r="AG12" i="8"/>
  <c r="AK12" i="8" s="1"/>
  <c r="L30" i="8"/>
  <c r="I30" i="8"/>
  <c r="M30" i="8" s="1"/>
  <c r="AJ45" i="8"/>
  <c r="AG45" i="8"/>
  <c r="AK45" i="8" s="1"/>
  <c r="E61" i="9"/>
  <c r="M61" i="9" s="1"/>
  <c r="AF61" i="9"/>
  <c r="F61" i="9" s="1"/>
  <c r="N61" i="9" s="1"/>
  <c r="AJ9" i="8"/>
  <c r="AG9" i="8"/>
  <c r="AK9" i="8" s="1"/>
  <c r="V28" i="6"/>
  <c r="V24" i="6"/>
  <c r="V20" i="6"/>
  <c r="V27" i="6"/>
  <c r="V23" i="6"/>
  <c r="V21" i="6"/>
  <c r="V25" i="6"/>
  <c r="V18" i="6"/>
  <c r="V14" i="6"/>
  <c r="V10" i="6"/>
  <c r="V6" i="6"/>
  <c r="V17" i="6"/>
  <c r="V13" i="6"/>
  <c r="V9" i="6"/>
  <c r="V29" i="6"/>
  <c r="V16" i="6"/>
  <c r="V12" i="6"/>
  <c r="V8" i="6"/>
  <c r="V22" i="6"/>
  <c r="V26" i="6"/>
  <c r="V30" i="6"/>
  <c r="V19" i="6"/>
  <c r="V15" i="6"/>
  <c r="V11" i="6"/>
  <c r="V7" i="6"/>
  <c r="Z29" i="7"/>
  <c r="Z25" i="7"/>
  <c r="Z21" i="7"/>
  <c r="Z17" i="7"/>
  <c r="Z13" i="7"/>
  <c r="Z9" i="7"/>
  <c r="Z28" i="7"/>
  <c r="Z24" i="7"/>
  <c r="Z20" i="7"/>
  <c r="Z16" i="7"/>
  <c r="Z12" i="7"/>
  <c r="Z8" i="7"/>
  <c r="Z27" i="7"/>
  <c r="Z23" i="7"/>
  <c r="Z19" i="7"/>
  <c r="Z15" i="7"/>
  <c r="Z11" i="7"/>
  <c r="Z7" i="7"/>
  <c r="Z18" i="7"/>
  <c r="Z30" i="7"/>
  <c r="Z14" i="7"/>
  <c r="Z22" i="7"/>
  <c r="Z26" i="7"/>
  <c r="Z10" i="7"/>
  <c r="Z6" i="7"/>
  <c r="X46" i="8"/>
  <c r="U46" i="8"/>
  <c r="Y46" i="8" s="1"/>
  <c r="Z27" i="6"/>
  <c r="Z23" i="6"/>
  <c r="Z26" i="6"/>
  <c r="Z22" i="6"/>
  <c r="Z30" i="6"/>
  <c r="Z28" i="6"/>
  <c r="Z16" i="6"/>
  <c r="Z12" i="6"/>
  <c r="Z8" i="6"/>
  <c r="Z19" i="6"/>
  <c r="Z15" i="6"/>
  <c r="Z11" i="6"/>
  <c r="Z7" i="6"/>
  <c r="Z21" i="6"/>
  <c r="Z25" i="6"/>
  <c r="Z29" i="6"/>
  <c r="Z18" i="6"/>
  <c r="Z14" i="6"/>
  <c r="Z10" i="6"/>
  <c r="Z6" i="6"/>
  <c r="Z20" i="6"/>
  <c r="Z17" i="6"/>
  <c r="Z24" i="6"/>
  <c r="Z13" i="6"/>
  <c r="Z9" i="6"/>
  <c r="U29" i="5"/>
  <c r="U25" i="5"/>
  <c r="U21" i="5"/>
  <c r="U17" i="5"/>
  <c r="U13" i="5"/>
  <c r="U9" i="5"/>
  <c r="U28" i="5"/>
  <c r="U24" i="5"/>
  <c r="U20" i="5"/>
  <c r="U16" i="5"/>
  <c r="U12" i="5"/>
  <c r="U8" i="5"/>
  <c r="U27" i="5"/>
  <c r="U23" i="5"/>
  <c r="U19" i="5"/>
  <c r="U15" i="5"/>
  <c r="U11" i="5"/>
  <c r="U7" i="5"/>
  <c r="U26" i="5"/>
  <c r="U10" i="5"/>
  <c r="U22" i="5"/>
  <c r="U6" i="5"/>
  <c r="U18" i="5"/>
  <c r="U30" i="5"/>
  <c r="U14" i="5"/>
  <c r="D7" i="5"/>
  <c r="D6" i="5"/>
  <c r="D30" i="5"/>
  <c r="D8" i="5"/>
  <c r="D10" i="5"/>
  <c r="D12" i="5"/>
  <c r="D14" i="5"/>
  <c r="D16" i="5"/>
  <c r="D18" i="5"/>
  <c r="D20" i="5"/>
  <c r="D22" i="5"/>
  <c r="D24" i="5"/>
  <c r="D26" i="5"/>
  <c r="D28" i="5"/>
  <c r="D9" i="5"/>
  <c r="D11" i="5"/>
  <c r="D13" i="5"/>
  <c r="D15" i="5"/>
  <c r="D17" i="5"/>
  <c r="D19" i="5"/>
  <c r="D21" i="5"/>
  <c r="D23" i="5"/>
  <c r="D25" i="5"/>
  <c r="D27" i="5"/>
  <c r="D29" i="5"/>
  <c r="M30" i="7"/>
  <c r="M26" i="7"/>
  <c r="M22" i="7"/>
  <c r="M18" i="7"/>
  <c r="M14" i="7"/>
  <c r="M10" i="7"/>
  <c r="M6" i="7"/>
  <c r="M29" i="7"/>
  <c r="M25" i="7"/>
  <c r="M21" i="7"/>
  <c r="M17" i="7"/>
  <c r="M13" i="7"/>
  <c r="M9" i="7"/>
  <c r="M28" i="7"/>
  <c r="M24" i="7"/>
  <c r="M20" i="7"/>
  <c r="M16" i="7"/>
  <c r="M12" i="7"/>
  <c r="M8" i="7"/>
  <c r="M23" i="7"/>
  <c r="M7" i="7"/>
  <c r="M19" i="7"/>
  <c r="M11" i="7"/>
  <c r="M15" i="7"/>
  <c r="M27" i="7"/>
  <c r="U6" i="6"/>
  <c r="U27" i="6"/>
  <c r="U23" i="6"/>
  <c r="U25" i="6"/>
  <c r="U21" i="6"/>
  <c r="U30" i="6"/>
  <c r="U26" i="6"/>
  <c r="U22" i="6"/>
  <c r="U29" i="6"/>
  <c r="U28" i="6"/>
  <c r="U24" i="6"/>
  <c r="U20" i="6"/>
  <c r="U7" i="6"/>
  <c r="U8" i="6"/>
  <c r="U9" i="6"/>
  <c r="U10" i="6"/>
  <c r="U11" i="6"/>
  <c r="U12" i="6"/>
  <c r="U14" i="6"/>
  <c r="U16" i="6"/>
  <c r="U18" i="6"/>
  <c r="U19" i="6"/>
  <c r="U13" i="6"/>
  <c r="U17" i="6"/>
  <c r="U15" i="6"/>
  <c r="V27" i="7"/>
  <c r="V9" i="7"/>
  <c r="V13" i="7"/>
  <c r="V17" i="7"/>
  <c r="V21" i="7"/>
  <c r="V25" i="7"/>
  <c r="Q27" i="7"/>
  <c r="Q23" i="7"/>
  <c r="Q19" i="7"/>
  <c r="Q15" i="7"/>
  <c r="Q11" i="7"/>
  <c r="Q7" i="7"/>
  <c r="Q30" i="7"/>
  <c r="Q26" i="7"/>
  <c r="Q22" i="7"/>
  <c r="Q18" i="7"/>
  <c r="Q14" i="7"/>
  <c r="Q10" i="7"/>
  <c r="Q6" i="7"/>
  <c r="Q29" i="7"/>
  <c r="Q25" i="7"/>
  <c r="Q21" i="7"/>
  <c r="Q17" i="7"/>
  <c r="Q13" i="7"/>
  <c r="Q9" i="7"/>
  <c r="Q16" i="7"/>
  <c r="Q28" i="7"/>
  <c r="Q12" i="7"/>
  <c r="Q24" i="7"/>
  <c r="Q8" i="7"/>
  <c r="Q20" i="7"/>
  <c r="X26" i="8"/>
  <c r="U26" i="8"/>
  <c r="Y26" i="8" s="1"/>
  <c r="R10" i="12"/>
  <c r="O10" i="12"/>
  <c r="S10" i="12" s="1"/>
  <c r="R6" i="5"/>
  <c r="R29" i="5"/>
  <c r="R25" i="5"/>
  <c r="R21" i="5"/>
  <c r="R17" i="5"/>
  <c r="R13" i="5"/>
  <c r="R9" i="5"/>
  <c r="R28" i="5"/>
  <c r="R24" i="5"/>
  <c r="R20" i="5"/>
  <c r="R16" i="5"/>
  <c r="R12" i="5"/>
  <c r="R8" i="5"/>
  <c r="R27" i="5"/>
  <c r="R23" i="5"/>
  <c r="R19" i="5"/>
  <c r="R15" i="5"/>
  <c r="R11" i="5"/>
  <c r="R7" i="5"/>
  <c r="R18" i="5"/>
  <c r="R30" i="5"/>
  <c r="R14" i="5"/>
  <c r="R26" i="5"/>
  <c r="R10" i="5"/>
  <c r="R22" i="5"/>
  <c r="AJ48" i="8"/>
  <c r="AG48" i="8"/>
  <c r="AK48" i="8" s="1"/>
  <c r="AE20" i="6"/>
  <c r="AE17" i="6"/>
  <c r="AE15" i="6"/>
  <c r="AE16" i="6"/>
  <c r="AE23" i="6"/>
  <c r="AE8" i="6"/>
  <c r="AJ34" i="8"/>
  <c r="AG34" i="8"/>
  <c r="AK34" i="8" s="1"/>
  <c r="F26" i="6"/>
  <c r="F22" i="6"/>
  <c r="F30" i="6"/>
  <c r="F29" i="6"/>
  <c r="F25" i="6"/>
  <c r="F21" i="6"/>
  <c r="F27" i="6"/>
  <c r="F16" i="6"/>
  <c r="F12" i="6"/>
  <c r="F8" i="6"/>
  <c r="F20" i="6"/>
  <c r="F24" i="6"/>
  <c r="F28" i="6"/>
  <c r="F19" i="6"/>
  <c r="F15" i="6"/>
  <c r="F11" i="6"/>
  <c r="F7" i="6"/>
  <c r="F23" i="6"/>
  <c r="F18" i="6"/>
  <c r="F14" i="6"/>
  <c r="F10" i="6"/>
  <c r="F6" i="6"/>
  <c r="F17" i="6"/>
  <c r="F13" i="6"/>
  <c r="F9" i="6"/>
  <c r="E49" i="9"/>
  <c r="M49" i="9" s="1"/>
  <c r="AF49" i="9"/>
  <c r="F49" i="9" s="1"/>
  <c r="N49" i="9" s="1"/>
  <c r="AJ27" i="8"/>
  <c r="AG27" i="8"/>
  <c r="AK27" i="8" s="1"/>
  <c r="AJ31" i="8"/>
  <c r="AG31" i="8"/>
  <c r="AK31" i="8" s="1"/>
  <c r="X13" i="8"/>
  <c r="U13" i="8"/>
  <c r="Y13" i="8" s="1"/>
  <c r="AJ26" i="8"/>
  <c r="AG26" i="8"/>
  <c r="AK26" i="8" s="1"/>
  <c r="E40" i="9"/>
  <c r="M40" i="9" s="1"/>
  <c r="D70" i="9" s="1"/>
  <c r="B71" i="9" s="1"/>
  <c r="AF40" i="9"/>
  <c r="F40" i="9" s="1"/>
  <c r="N40" i="9" s="1"/>
  <c r="E6" i="6"/>
  <c r="E29" i="6"/>
  <c r="E25" i="6"/>
  <c r="E21" i="6"/>
  <c r="E28" i="6"/>
  <c r="E24" i="6"/>
  <c r="E20" i="6"/>
  <c r="E27" i="6"/>
  <c r="E23" i="6"/>
  <c r="E30" i="6"/>
  <c r="E26" i="6"/>
  <c r="E22" i="6"/>
  <c r="E13" i="6"/>
  <c r="E15" i="6"/>
  <c r="E17" i="6"/>
  <c r="E19" i="6"/>
  <c r="E7" i="6"/>
  <c r="E8" i="6"/>
  <c r="E9" i="6"/>
  <c r="E10" i="6"/>
  <c r="E11" i="6"/>
  <c r="E12" i="6"/>
  <c r="E14" i="6"/>
  <c r="E16" i="6"/>
  <c r="E18" i="6"/>
  <c r="AF18" i="6"/>
  <c r="AF14" i="6"/>
  <c r="AF10" i="6"/>
  <c r="AF6" i="6"/>
  <c r="AF16" i="6"/>
  <c r="AF17" i="6"/>
  <c r="AF13" i="6"/>
  <c r="AF9" i="6"/>
  <c r="AF11" i="6"/>
  <c r="AF7" i="6"/>
  <c r="AF15" i="6"/>
  <c r="AF12" i="6"/>
  <c r="AF8" i="6"/>
  <c r="AF29" i="6"/>
  <c r="AF25" i="6"/>
  <c r="AF21" i="6"/>
  <c r="AF28" i="6"/>
  <c r="AF24" i="6"/>
  <c r="AF20" i="6"/>
  <c r="AF30" i="6"/>
  <c r="AF22" i="6"/>
  <c r="AF27" i="6"/>
  <c r="AF19" i="6"/>
  <c r="AF23" i="6"/>
  <c r="AF26" i="6"/>
  <c r="X11" i="12"/>
  <c r="F15" i="3" s="1"/>
  <c r="L5" i="7"/>
  <c r="U5" i="7"/>
  <c r="X20" i="12"/>
  <c r="F24" i="3" s="1"/>
  <c r="R17" i="12"/>
  <c r="O17" i="12"/>
  <c r="S17" i="12" s="1"/>
  <c r="AG28" i="5"/>
  <c r="AG24" i="5"/>
  <c r="AG20" i="5"/>
  <c r="AG16" i="5"/>
  <c r="AG12" i="5"/>
  <c r="AG8" i="5"/>
  <c r="AG27" i="5"/>
  <c r="AG23" i="5"/>
  <c r="AG19" i="5"/>
  <c r="AG15" i="5"/>
  <c r="AG11" i="5"/>
  <c r="AG7" i="5"/>
  <c r="AG30" i="5"/>
  <c r="AG26" i="5"/>
  <c r="AG22" i="5"/>
  <c r="AG18" i="5"/>
  <c r="AG14" i="5"/>
  <c r="AG10" i="5"/>
  <c r="AG6" i="5"/>
  <c r="AG21" i="5"/>
  <c r="AG17" i="5"/>
  <c r="AG29" i="5"/>
  <c r="AG13" i="5"/>
  <c r="AG9" i="5"/>
  <c r="AG25" i="5"/>
  <c r="L18" i="8"/>
  <c r="I18" i="8"/>
  <c r="M18" i="8" s="1"/>
  <c r="X27" i="12"/>
  <c r="F31" i="3" s="1"/>
  <c r="AB5" i="7"/>
  <c r="E58" i="9"/>
  <c r="M58" i="9" s="1"/>
  <c r="AF58" i="9"/>
  <c r="F58" i="9" s="1"/>
  <c r="N58" i="9" s="1"/>
  <c r="L7" i="5"/>
  <c r="L6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S27" i="5"/>
  <c r="S23" i="5"/>
  <c r="S19" i="5"/>
  <c r="S15" i="5"/>
  <c r="S11" i="5"/>
  <c r="S7" i="5"/>
  <c r="S29" i="5"/>
  <c r="S25" i="5"/>
  <c r="S21" i="5"/>
  <c r="S28" i="5"/>
  <c r="S24" i="5"/>
  <c r="S20" i="5"/>
  <c r="S16" i="5"/>
  <c r="S12" i="5"/>
  <c r="S8" i="5"/>
  <c r="S30" i="5"/>
  <c r="S26" i="5"/>
  <c r="S22" i="5"/>
  <c r="S18" i="5"/>
  <c r="S14" i="5"/>
  <c r="S10" i="5"/>
  <c r="S17" i="5"/>
  <c r="S13" i="5"/>
  <c r="S9" i="5"/>
  <c r="S6" i="5"/>
  <c r="S11" i="6"/>
  <c r="S7" i="6"/>
  <c r="S29" i="6"/>
  <c r="S25" i="6"/>
  <c r="S21" i="6"/>
  <c r="S9" i="6"/>
  <c r="S8" i="6"/>
  <c r="S6" i="6"/>
  <c r="S14" i="6"/>
  <c r="S28" i="6"/>
  <c r="S24" i="6"/>
  <c r="S20" i="6"/>
  <c r="S15" i="6"/>
  <c r="S19" i="6"/>
  <c r="S23" i="6"/>
  <c r="S16" i="6"/>
  <c r="S30" i="6"/>
  <c r="S22" i="6"/>
  <c r="S12" i="6"/>
  <c r="S10" i="6"/>
  <c r="S18" i="6"/>
  <c r="S27" i="6"/>
  <c r="S17" i="6"/>
  <c r="S13" i="6"/>
  <c r="S26" i="6"/>
  <c r="L16" i="6"/>
  <c r="L12" i="6"/>
  <c r="L8" i="6"/>
  <c r="L18" i="6"/>
  <c r="L19" i="6"/>
  <c r="L15" i="6"/>
  <c r="L11" i="6"/>
  <c r="L7" i="6"/>
  <c r="L14" i="6"/>
  <c r="L10" i="6"/>
  <c r="L6" i="6"/>
  <c r="L17" i="6"/>
  <c r="L13" i="6"/>
  <c r="L9" i="6"/>
  <c r="L27" i="6"/>
  <c r="L23" i="6"/>
  <c r="L30" i="6"/>
  <c r="L26" i="6"/>
  <c r="L22" i="6"/>
  <c r="L29" i="6"/>
  <c r="L25" i="6"/>
  <c r="L21" i="6"/>
  <c r="L20" i="6"/>
  <c r="L24" i="6"/>
  <c r="L28" i="6"/>
  <c r="J5" i="7"/>
  <c r="X9" i="12"/>
  <c r="F13" i="3" s="1"/>
  <c r="AD27" i="7"/>
  <c r="AD29" i="7"/>
  <c r="AD26" i="7"/>
  <c r="AD25" i="7"/>
  <c r="AD24" i="7"/>
  <c r="AD23" i="7"/>
  <c r="AD22" i="7"/>
  <c r="AD21" i="7"/>
  <c r="AD20" i="7"/>
  <c r="AD19" i="7"/>
  <c r="AD18" i="7"/>
  <c r="AD17" i="7"/>
  <c r="AD16" i="7"/>
  <c r="AD15" i="7"/>
  <c r="AD14" i="7"/>
  <c r="AD13" i="7"/>
  <c r="AD12" i="7"/>
  <c r="AD11" i="7"/>
  <c r="AD10" i="7"/>
  <c r="AD9" i="7"/>
  <c r="AD8" i="7"/>
  <c r="AD7" i="7"/>
  <c r="AD6" i="7"/>
  <c r="AD28" i="7"/>
  <c r="AD30" i="7"/>
  <c r="X7" i="12" l="1"/>
  <c r="F11" i="3" s="1"/>
  <c r="H5" i="7"/>
  <c r="H5" i="6"/>
  <c r="W7" i="12"/>
  <c r="E11" i="3" s="1"/>
  <c r="V20" i="7"/>
  <c r="V16" i="7"/>
  <c r="V12" i="7"/>
  <c r="V8" i="7"/>
  <c r="V30" i="7"/>
  <c r="AE6" i="6"/>
  <c r="AE11" i="6"/>
  <c r="AE26" i="6"/>
  <c r="AE14" i="6"/>
  <c r="AE29" i="6"/>
  <c r="AE9" i="6"/>
  <c r="AE28" i="6"/>
  <c r="V23" i="7"/>
  <c r="V19" i="7"/>
  <c r="V15" i="7"/>
  <c r="V11" i="7"/>
  <c r="V7" i="7"/>
  <c r="V28" i="7"/>
  <c r="W5" i="6"/>
  <c r="W22" i="12"/>
  <c r="E26" i="3" s="1"/>
  <c r="AE10" i="6"/>
  <c r="AE21" i="6"/>
  <c r="AE25" i="6"/>
  <c r="AE12" i="6"/>
  <c r="AE19" i="6"/>
  <c r="AE24" i="6"/>
  <c r="V24" i="7"/>
  <c r="W5" i="7"/>
  <c r="X22" i="12"/>
  <c r="F26" i="3" s="1"/>
  <c r="AE5" i="7"/>
  <c r="X30" i="12"/>
  <c r="F34" i="3" s="1"/>
  <c r="Y24" i="7"/>
  <c r="Y8" i="7"/>
  <c r="Y15" i="7"/>
  <c r="Y26" i="7"/>
  <c r="Y10" i="7"/>
  <c r="Y25" i="7"/>
  <c r="Y20" i="7"/>
  <c r="Y11" i="7"/>
  <c r="Y6" i="7"/>
  <c r="Y27" i="7"/>
  <c r="Y22" i="7"/>
  <c r="Y9" i="7"/>
  <c r="Y23" i="7"/>
  <c r="Y12" i="7"/>
  <c r="Y17" i="7"/>
  <c r="Y16" i="7"/>
  <c r="Y7" i="7"/>
  <c r="Y18" i="7"/>
  <c r="Y29" i="7"/>
  <c r="Y21" i="7"/>
  <c r="Y28" i="7"/>
  <c r="Y19" i="7"/>
  <c r="Y30" i="7"/>
  <c r="Y14" i="7"/>
  <c r="Y13" i="7"/>
  <c r="AE7" i="6"/>
  <c r="AE22" i="6"/>
  <c r="AE27" i="6"/>
  <c r="AE30" i="6"/>
  <c r="AE18" i="6"/>
  <c r="V26" i="7"/>
  <c r="V22" i="7"/>
  <c r="V18" i="7"/>
  <c r="V14" i="7"/>
  <c r="V10" i="7"/>
  <c r="V6" i="7"/>
  <c r="G28" i="7"/>
  <c r="G24" i="7"/>
  <c r="G20" i="7"/>
  <c r="G16" i="7"/>
  <c r="G12" i="7"/>
  <c r="G8" i="7"/>
  <c r="G29" i="7"/>
  <c r="G27" i="7"/>
  <c r="G23" i="7"/>
  <c r="G19" i="7"/>
  <c r="G15" i="7"/>
  <c r="G11" i="7"/>
  <c r="G7" i="7"/>
  <c r="G26" i="7"/>
  <c r="G22" i="7"/>
  <c r="G18" i="7"/>
  <c r="G14" i="7"/>
  <c r="G10" i="7"/>
  <c r="G6" i="7"/>
  <c r="G25" i="7"/>
  <c r="G21" i="7"/>
  <c r="G17" i="7"/>
  <c r="G13" i="7"/>
  <c r="G9" i="7"/>
  <c r="G30" i="7"/>
  <c r="I25" i="7"/>
  <c r="I9" i="7"/>
  <c r="I16" i="7"/>
  <c r="I23" i="7"/>
  <c r="I7" i="7"/>
  <c r="I10" i="7"/>
  <c r="I29" i="7"/>
  <c r="I13" i="7"/>
  <c r="I20" i="7"/>
  <c r="I27" i="7"/>
  <c r="I26" i="7"/>
  <c r="I18" i="7"/>
  <c r="I21" i="7"/>
  <c r="I28" i="7"/>
  <c r="I12" i="7"/>
  <c r="I19" i="7"/>
  <c r="I30" i="7"/>
  <c r="I22" i="7"/>
  <c r="I17" i="7"/>
  <c r="I24" i="7"/>
  <c r="I8" i="7"/>
  <c r="I15" i="7"/>
  <c r="I14" i="7"/>
  <c r="I6" i="7"/>
  <c r="I11" i="7"/>
  <c r="T27" i="7"/>
  <c r="T23" i="7"/>
  <c r="T19" i="7"/>
  <c r="T15" i="7"/>
  <c r="T11" i="7"/>
  <c r="T7" i="7"/>
  <c r="T12" i="7"/>
  <c r="T30" i="7"/>
  <c r="T26" i="7"/>
  <c r="T22" i="7"/>
  <c r="T18" i="7"/>
  <c r="T14" i="7"/>
  <c r="T10" i="7"/>
  <c r="T6" i="7"/>
  <c r="T29" i="7"/>
  <c r="T25" i="7"/>
  <c r="T21" i="7"/>
  <c r="T17" i="7"/>
  <c r="T13" i="7"/>
  <c r="T9" i="7"/>
  <c r="T28" i="7"/>
  <c r="T24" i="7"/>
  <c r="T20" i="7"/>
  <c r="T16" i="7"/>
  <c r="T8" i="7"/>
  <c r="AC5" i="7"/>
  <c r="X28" i="12"/>
  <c r="F32" i="3" s="1"/>
  <c r="O28" i="7"/>
  <c r="O17" i="7"/>
  <c r="O14" i="7"/>
  <c r="O18" i="7"/>
  <c r="O8" i="7"/>
  <c r="O12" i="7"/>
  <c r="O13" i="7"/>
  <c r="O11" i="7"/>
  <c r="O24" i="7"/>
  <c r="O27" i="7"/>
  <c r="O21" i="7"/>
  <c r="O16" i="7"/>
  <c r="O20" i="7"/>
  <c r="O15" i="7"/>
  <c r="O19" i="7"/>
  <c r="O30" i="7"/>
  <c r="O9" i="7"/>
  <c r="O25" i="7"/>
  <c r="O23" i="7"/>
  <c r="O10" i="7"/>
  <c r="O22" i="7"/>
  <c r="O26" i="7"/>
  <c r="O29" i="7"/>
  <c r="O7" i="7"/>
  <c r="O6" i="7"/>
  <c r="AC5" i="6"/>
  <c r="W28" i="12"/>
  <c r="E32" i="3" s="1"/>
  <c r="K5" i="6"/>
  <c r="W10" i="12"/>
  <c r="E14" i="3" s="1"/>
  <c r="W3" i="12"/>
  <c r="E7" i="3" s="1"/>
  <c r="D5" i="6"/>
  <c r="U28" i="7"/>
  <c r="U24" i="7"/>
  <c r="U20" i="7"/>
  <c r="U16" i="7"/>
  <c r="U12" i="7"/>
  <c r="U8" i="7"/>
  <c r="U27" i="7"/>
  <c r="U23" i="7"/>
  <c r="U19" i="7"/>
  <c r="U15" i="7"/>
  <c r="U11" i="7"/>
  <c r="U7" i="7"/>
  <c r="U30" i="7"/>
  <c r="U26" i="7"/>
  <c r="U22" i="7"/>
  <c r="U18" i="7"/>
  <c r="U14" i="7"/>
  <c r="U10" i="7"/>
  <c r="U6" i="7"/>
  <c r="U25" i="7"/>
  <c r="U9" i="7"/>
  <c r="U21" i="7"/>
  <c r="U29" i="7"/>
  <c r="U17" i="7"/>
  <c r="U13" i="7"/>
  <c r="S27" i="7"/>
  <c r="S25" i="7"/>
  <c r="S23" i="7"/>
  <c r="S21" i="7"/>
  <c r="S19" i="7"/>
  <c r="S17" i="7"/>
  <c r="S15" i="7"/>
  <c r="S12" i="7"/>
  <c r="S10" i="7"/>
  <c r="S8" i="7"/>
  <c r="S6" i="7"/>
  <c r="S26" i="7"/>
  <c r="S24" i="7"/>
  <c r="S22" i="7"/>
  <c r="S20" i="7"/>
  <c r="S18" i="7"/>
  <c r="S16" i="7"/>
  <c r="S14" i="7"/>
  <c r="S13" i="7"/>
  <c r="S11" i="7"/>
  <c r="S9" i="7"/>
  <c r="S7" i="7"/>
  <c r="S30" i="7"/>
  <c r="S29" i="7"/>
  <c r="S28" i="7"/>
  <c r="AG29" i="7"/>
  <c r="AG25" i="7"/>
  <c r="AG21" i="7"/>
  <c r="AG17" i="7"/>
  <c r="AG13" i="7"/>
  <c r="AG9" i="7"/>
  <c r="AG28" i="7"/>
  <c r="AG24" i="7"/>
  <c r="AG20" i="7"/>
  <c r="AG16" i="7"/>
  <c r="AG12" i="7"/>
  <c r="AG8" i="7"/>
  <c r="AG27" i="7"/>
  <c r="AG23" i="7"/>
  <c r="AG19" i="7"/>
  <c r="AG15" i="7"/>
  <c r="AG11" i="7"/>
  <c r="AG7" i="7"/>
  <c r="AG18" i="7"/>
  <c r="AG30" i="7"/>
  <c r="AG14" i="7"/>
  <c r="AG22" i="7"/>
  <c r="AG6" i="7"/>
  <c r="AG26" i="7"/>
  <c r="AG10" i="7"/>
  <c r="J30" i="7"/>
  <c r="J8" i="7"/>
  <c r="J12" i="7"/>
  <c r="J16" i="7"/>
  <c r="J20" i="7"/>
  <c r="J24" i="7"/>
  <c r="J27" i="7"/>
  <c r="J9" i="7"/>
  <c r="J11" i="7"/>
  <c r="J18" i="7"/>
  <c r="J25" i="7"/>
  <c r="J28" i="7"/>
  <c r="J7" i="7"/>
  <c r="J14" i="7"/>
  <c r="J21" i="7"/>
  <c r="J6" i="7"/>
  <c r="J13" i="7"/>
  <c r="J15" i="7"/>
  <c r="J22" i="7"/>
  <c r="J10" i="7"/>
  <c r="J17" i="7"/>
  <c r="J19" i="7"/>
  <c r="J26" i="7"/>
  <c r="J29" i="7"/>
  <c r="J23" i="7"/>
  <c r="R5" i="7"/>
  <c r="X17" i="12"/>
  <c r="F21" i="3" s="1"/>
  <c r="L30" i="7"/>
  <c r="L29" i="7"/>
  <c r="L28" i="7"/>
  <c r="L25" i="7"/>
  <c r="L24" i="7"/>
  <c r="L21" i="7"/>
  <c r="L20" i="7"/>
  <c r="L18" i="7"/>
  <c r="L16" i="7"/>
  <c r="L14" i="7"/>
  <c r="L12" i="7"/>
  <c r="L10" i="7"/>
  <c r="L8" i="7"/>
  <c r="L7" i="7"/>
  <c r="L27" i="7"/>
  <c r="L26" i="7"/>
  <c r="L23" i="7"/>
  <c r="L22" i="7"/>
  <c r="L19" i="7"/>
  <c r="L17" i="7"/>
  <c r="L15" i="7"/>
  <c r="L13" i="7"/>
  <c r="L11" i="7"/>
  <c r="L9" i="7"/>
  <c r="L6" i="7"/>
  <c r="E28" i="7"/>
  <c r="E24" i="7"/>
  <c r="E20" i="7"/>
  <c r="E16" i="7"/>
  <c r="E12" i="7"/>
  <c r="E8" i="7"/>
  <c r="E27" i="7"/>
  <c r="E23" i="7"/>
  <c r="E19" i="7"/>
  <c r="E15" i="7"/>
  <c r="E11" i="7"/>
  <c r="E7" i="7"/>
  <c r="E30" i="7"/>
  <c r="E26" i="7"/>
  <c r="E22" i="7"/>
  <c r="E18" i="7"/>
  <c r="E14" i="7"/>
  <c r="E10" i="7"/>
  <c r="E6" i="7"/>
  <c r="E21" i="7"/>
  <c r="E17" i="7"/>
  <c r="E9" i="7"/>
  <c r="E29" i="7"/>
  <c r="E13" i="7"/>
  <c r="E25" i="7"/>
  <c r="P5" i="6"/>
  <c r="W15" i="12"/>
  <c r="E19" i="3" s="1"/>
  <c r="AB30" i="7"/>
  <c r="AB29" i="7"/>
  <c r="AB28" i="7"/>
  <c r="AB27" i="7"/>
  <c r="AB26" i="7"/>
  <c r="AB25" i="7"/>
  <c r="AB24" i="7"/>
  <c r="AB23" i="7"/>
  <c r="AB22" i="7"/>
  <c r="AB21" i="7"/>
  <c r="AB20" i="7"/>
  <c r="AB19" i="7"/>
  <c r="AB18" i="7"/>
  <c r="AB17" i="7"/>
  <c r="AB16" i="7"/>
  <c r="AB15" i="7"/>
  <c r="AB14" i="7"/>
  <c r="AB13" i="7"/>
  <c r="AB12" i="7"/>
  <c r="AB11" i="7"/>
  <c r="AB10" i="7"/>
  <c r="AB9" i="7"/>
  <c r="AB8" i="7"/>
  <c r="AB7" i="7"/>
  <c r="AB6" i="7"/>
  <c r="W17" i="12"/>
  <c r="E21" i="3" s="1"/>
  <c r="R5" i="6"/>
  <c r="K5" i="7"/>
  <c r="X10" i="12"/>
  <c r="F14" i="3" s="1"/>
  <c r="P5" i="7"/>
  <c r="X15" i="12"/>
  <c r="F19" i="3" s="1"/>
  <c r="AF30" i="7"/>
  <c r="AF29" i="7"/>
  <c r="AF28" i="7"/>
  <c r="AF27" i="7"/>
  <c r="AF26" i="7"/>
  <c r="AF25" i="7"/>
  <c r="AF24" i="7"/>
  <c r="AF23" i="7"/>
  <c r="AF22" i="7"/>
  <c r="AF21" i="7"/>
  <c r="AF20" i="7"/>
  <c r="AF19" i="7"/>
  <c r="AF18" i="7"/>
  <c r="AF17" i="7"/>
  <c r="AF16" i="7"/>
  <c r="AF15" i="7"/>
  <c r="AF14" i="7"/>
  <c r="AF13" i="7"/>
  <c r="AF12" i="7"/>
  <c r="AF11" i="7"/>
  <c r="AF10" i="7"/>
  <c r="AF9" i="7"/>
  <c r="AF8" i="7"/>
  <c r="AF7" i="7"/>
  <c r="AF6" i="7"/>
  <c r="X3" i="12"/>
  <c r="F7" i="3" s="1"/>
  <c r="D5" i="7"/>
  <c r="H10" i="6" l="1"/>
  <c r="H9" i="6"/>
  <c r="H8" i="6"/>
  <c r="H28" i="6"/>
  <c r="H23" i="6"/>
  <c r="H25" i="6"/>
  <c r="H6" i="6"/>
  <c r="H16" i="6"/>
  <c r="H15" i="6"/>
  <c r="H24" i="6"/>
  <c r="H30" i="6"/>
  <c r="H21" i="6"/>
  <c r="H18" i="6"/>
  <c r="H17" i="6"/>
  <c r="H19" i="6"/>
  <c r="H11" i="6"/>
  <c r="H20" i="6"/>
  <c r="H26" i="6"/>
  <c r="H29" i="6"/>
  <c r="H14" i="6"/>
  <c r="H13" i="6"/>
  <c r="H12" i="6"/>
  <c r="H7" i="6"/>
  <c r="H27" i="6"/>
  <c r="H22" i="6"/>
  <c r="H25" i="7"/>
  <c r="H16" i="7"/>
  <c r="H8" i="7"/>
  <c r="H24" i="7"/>
  <c r="H17" i="7"/>
  <c r="H9" i="7"/>
  <c r="H28" i="7"/>
  <c r="H19" i="7"/>
  <c r="H30" i="7"/>
  <c r="H23" i="7"/>
  <c r="H14" i="7"/>
  <c r="H6" i="7"/>
  <c r="H22" i="7"/>
  <c r="H15" i="7"/>
  <c r="H7" i="7"/>
  <c r="H29" i="7"/>
  <c r="H21" i="7"/>
  <c r="H12" i="7"/>
  <c r="H27" i="7"/>
  <c r="H20" i="7"/>
  <c r="H13" i="7"/>
  <c r="H18" i="7"/>
  <c r="H10" i="7"/>
  <c r="H26" i="7"/>
  <c r="H11" i="7"/>
  <c r="W25" i="7"/>
  <c r="W18" i="7"/>
  <c r="W10" i="7"/>
  <c r="W23" i="7"/>
  <c r="W15" i="7"/>
  <c r="W6" i="7"/>
  <c r="W30" i="7"/>
  <c r="W21" i="7"/>
  <c r="W14" i="7"/>
  <c r="W7" i="7"/>
  <c r="W19" i="7"/>
  <c r="W27" i="7"/>
  <c r="W20" i="7"/>
  <c r="W12" i="7"/>
  <c r="W26" i="7"/>
  <c r="W17" i="7"/>
  <c r="W9" i="7"/>
  <c r="W28" i="7"/>
  <c r="W24" i="7"/>
  <c r="W16" i="7"/>
  <c r="W8" i="7"/>
  <c r="W22" i="7"/>
  <c r="W13" i="7"/>
  <c r="W29" i="7"/>
  <c r="W11" i="7"/>
  <c r="W12" i="6"/>
  <c r="W7" i="6"/>
  <c r="W23" i="6"/>
  <c r="W26" i="6"/>
  <c r="W30" i="6"/>
  <c r="W21" i="6"/>
  <c r="W8" i="6"/>
  <c r="W9" i="6"/>
  <c r="W25" i="6"/>
  <c r="W13" i="6"/>
  <c r="W16" i="6"/>
  <c r="W20" i="6"/>
  <c r="W17" i="6"/>
  <c r="W11" i="6"/>
  <c r="W29" i="6"/>
  <c r="W28" i="6"/>
  <c r="W6" i="6"/>
  <c r="W19" i="6"/>
  <c r="W15" i="6"/>
  <c r="W22" i="6"/>
  <c r="W10" i="6"/>
  <c r="W24" i="6"/>
  <c r="W18" i="6"/>
  <c r="W14" i="6"/>
  <c r="W27" i="6"/>
  <c r="AE28" i="7"/>
  <c r="AE6" i="7"/>
  <c r="AE22" i="7"/>
  <c r="AE17" i="7"/>
  <c r="AE16" i="7"/>
  <c r="AE13" i="7"/>
  <c r="AE19" i="7"/>
  <c r="AE18" i="7"/>
  <c r="AE15" i="7"/>
  <c r="AE29" i="7"/>
  <c r="AE10" i="7"/>
  <c r="AE12" i="7"/>
  <c r="AE24" i="7"/>
  <c r="AE23" i="7"/>
  <c r="AE20" i="7"/>
  <c r="AE27" i="7"/>
  <c r="AE14" i="7"/>
  <c r="AE7" i="7"/>
  <c r="AE25" i="7"/>
  <c r="AE8" i="7"/>
  <c r="AE30" i="7"/>
  <c r="AE26" i="7"/>
  <c r="AE21" i="7"/>
  <c r="AE9" i="7"/>
  <c r="AE11" i="7"/>
  <c r="AC24" i="7"/>
  <c r="AC8" i="7"/>
  <c r="AC15" i="7"/>
  <c r="AC26" i="7"/>
  <c r="AC10" i="7"/>
  <c r="AC21" i="7"/>
  <c r="AC20" i="7"/>
  <c r="AC27" i="7"/>
  <c r="AC11" i="7"/>
  <c r="AC22" i="7"/>
  <c r="AC6" i="7"/>
  <c r="AC29" i="7"/>
  <c r="AC28" i="7"/>
  <c r="AC12" i="7"/>
  <c r="AC19" i="7"/>
  <c r="AC30" i="7"/>
  <c r="AC9" i="7"/>
  <c r="AC17" i="7"/>
  <c r="AC16" i="7"/>
  <c r="AC23" i="7"/>
  <c r="AC7" i="7"/>
  <c r="AC18" i="7"/>
  <c r="AC25" i="7"/>
  <c r="AC13" i="7"/>
  <c r="AC14" i="7"/>
  <c r="AC30" i="6"/>
  <c r="AC10" i="6"/>
  <c r="AC17" i="6"/>
  <c r="AC23" i="6"/>
  <c r="AC20" i="6"/>
  <c r="AC16" i="6"/>
  <c r="AC8" i="6"/>
  <c r="AC13" i="6"/>
  <c r="AC26" i="6"/>
  <c r="AC12" i="6"/>
  <c r="AC22" i="6"/>
  <c r="AC9" i="6"/>
  <c r="AC27" i="6"/>
  <c r="AC7" i="6"/>
  <c r="AC11" i="6"/>
  <c r="AC21" i="6"/>
  <c r="AC19" i="6"/>
  <c r="AC28" i="6"/>
  <c r="AC18" i="6"/>
  <c r="AC24" i="6"/>
  <c r="AC6" i="6"/>
  <c r="AC15" i="6"/>
  <c r="AC29" i="6"/>
  <c r="AC14" i="6"/>
  <c r="AC25" i="6"/>
  <c r="K30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9" i="7"/>
  <c r="K28" i="7"/>
  <c r="K27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D16" i="6"/>
  <c r="D12" i="6"/>
  <c r="D8" i="6"/>
  <c r="D19" i="6"/>
  <c r="D15" i="6"/>
  <c r="D11" i="6"/>
  <c r="D7" i="6"/>
  <c r="D18" i="6"/>
  <c r="D17" i="6"/>
  <c r="D6" i="6"/>
  <c r="D13" i="6"/>
  <c r="D9" i="6"/>
  <c r="D14" i="6"/>
  <c r="D10" i="6"/>
  <c r="D29" i="6"/>
  <c r="D25" i="6"/>
  <c r="D21" i="6"/>
  <c r="D28" i="6"/>
  <c r="D24" i="6"/>
  <c r="D20" i="6"/>
  <c r="D27" i="6"/>
  <c r="D23" i="6"/>
  <c r="D30" i="6"/>
  <c r="D26" i="6"/>
  <c r="D22" i="6"/>
  <c r="R17" i="6"/>
  <c r="R13" i="6"/>
  <c r="R9" i="6"/>
  <c r="R30" i="6"/>
  <c r="R26" i="6"/>
  <c r="R22" i="6"/>
  <c r="R16" i="6"/>
  <c r="R12" i="6"/>
  <c r="R8" i="6"/>
  <c r="R29" i="6"/>
  <c r="R25" i="6"/>
  <c r="R21" i="6"/>
  <c r="R19" i="6"/>
  <c r="R15" i="6"/>
  <c r="R11" i="6"/>
  <c r="R7" i="6"/>
  <c r="R28" i="6"/>
  <c r="R24" i="6"/>
  <c r="R20" i="6"/>
  <c r="R10" i="6"/>
  <c r="R6" i="6"/>
  <c r="R18" i="6"/>
  <c r="R27" i="6"/>
  <c r="R14" i="6"/>
  <c r="R23" i="6"/>
  <c r="P18" i="6"/>
  <c r="P14" i="6"/>
  <c r="P10" i="6"/>
  <c r="P6" i="6"/>
  <c r="P16" i="6"/>
  <c r="P17" i="6"/>
  <c r="P13" i="6"/>
  <c r="P9" i="6"/>
  <c r="P19" i="6"/>
  <c r="P15" i="6"/>
  <c r="P11" i="6"/>
  <c r="P7" i="6"/>
  <c r="P12" i="6"/>
  <c r="P8" i="6"/>
  <c r="P30" i="6"/>
  <c r="P26" i="6"/>
  <c r="P22" i="6"/>
  <c r="P29" i="6"/>
  <c r="P25" i="6"/>
  <c r="P21" i="6"/>
  <c r="P28" i="6"/>
  <c r="P24" i="6"/>
  <c r="P20" i="6"/>
  <c r="P27" i="6"/>
  <c r="P23" i="6"/>
  <c r="R27" i="7"/>
  <c r="R26" i="7"/>
  <c r="R25" i="7"/>
  <c r="R24" i="7"/>
  <c r="R23" i="7"/>
  <c r="R22" i="7"/>
  <c r="R21" i="7"/>
  <c r="R20" i="7"/>
  <c r="R19" i="7"/>
  <c r="R18" i="7"/>
  <c r="R17" i="7"/>
  <c r="R16" i="7"/>
  <c r="R15" i="7"/>
  <c r="R14" i="7"/>
  <c r="R13" i="7"/>
  <c r="R12" i="7"/>
  <c r="R11" i="7"/>
  <c r="R10" i="7"/>
  <c r="R9" i="7"/>
  <c r="R8" i="7"/>
  <c r="R7" i="7"/>
  <c r="R6" i="7"/>
  <c r="R30" i="7"/>
  <c r="R29" i="7"/>
  <c r="R28" i="7"/>
  <c r="K14" i="6"/>
  <c r="K10" i="6"/>
  <c r="K6" i="6"/>
  <c r="K18" i="6"/>
  <c r="K15" i="6"/>
  <c r="K22" i="6"/>
  <c r="K24" i="6"/>
  <c r="K25" i="6"/>
  <c r="K8" i="6"/>
  <c r="K27" i="6"/>
  <c r="K7" i="6"/>
  <c r="K17" i="6"/>
  <c r="K20" i="6"/>
  <c r="K21" i="6"/>
  <c r="K28" i="6"/>
  <c r="K30" i="6"/>
  <c r="K19" i="6"/>
  <c r="K26" i="6"/>
  <c r="K29" i="6"/>
  <c r="K13" i="6"/>
  <c r="K16" i="6"/>
  <c r="K23" i="6"/>
  <c r="K11" i="6"/>
  <c r="K9" i="6"/>
  <c r="K12" i="6"/>
</calcChain>
</file>

<file path=xl/sharedStrings.xml><?xml version="1.0" encoding="utf-8"?>
<sst xmlns="http://schemas.openxmlformats.org/spreadsheetml/2006/main" count="298" uniqueCount="206">
  <si>
    <t>Downgradient</t>
  </si>
  <si>
    <t>Downgradient traces a dissolved chlorinated-ethene plume (PCE → TCE → DCE → VC) from a vertical plane source using the 3-D Domenico analytical solution — 1-D advection, 3-D dispersion, linear sorption via retardation, and first-order decay. The four ethenes are coupled as a sequential decay chain (each daughter grows in from its parent) via the Sun–Clement transform, the same conceptual model as EPA's BIOCHLOR. It's all native Excel formulas: no macros, nothing to install, and every number recalculates the instant you change an input.</t>
  </si>
  <si>
    <t>1.  Open the  Inputs  tab. The amber cells are the only things you edit — transport properties, source geometry, and the per-species table (source concentration, decay rate, retardation, yield).</t>
  </si>
  <si>
    <t>2.  Pick a time mode:  1 = transient (breakthrough curves + a plume snapshot at time t)  or  0 = steady state (the long-term maximum plume).</t>
  </si>
  <si>
    <t>3.  Read the results as they update:  Centerline  (concentration vs. distance),  the four  Plume_*  tabs (map view — colour is concentration),  and  Breakthrough  (concentration vs. time at your receptors).</t>
  </si>
  <si>
    <t>Coordinate system</t>
  </si>
  <si>
    <t>Local, flow-aligned plume coordinates (not tied to a site map):  x = distance downgradient along groundwater flow (source at x = 0);  y = cross-gradient distance (plume centreline at y = 0);  z = depth below the water table (results reported at the water table, z = 0). Units are yours to choose, as long as they're consistent — the defaults are feet, years, and mg/L.</t>
  </si>
  <si>
    <t>The  Validation  tab reproduces EPA BIOCHLOR's Cape Canaveral benchmark to within a rounding error, live in the sheet. The  Num_Validation  tab shows this analytical engine checked against a completely independent finite-difference model of the same physics — they agree to within ~10% everywhere the concentration matters. Methods: Domenico (1987); Ogata–Banks (1961); Martin-Hayden &amp; Robbins (1997); Sun &amp; Clement (1999); Aziz et al. (2000), BIOCHLOR.</t>
  </si>
  <si>
    <t>Transport properties</t>
  </si>
  <si>
    <t>Seepage (pore) velocity  vₛ</t>
  </si>
  <si>
    <t>ft/yr</t>
  </si>
  <si>
    <t>Longitudinal dispersivity  α_L</t>
  </si>
  <si>
    <t>ft</t>
  </si>
  <si>
    <t>Transverse dispersivity  α_T</t>
  </si>
  <si>
    <t>Vertical dispersivity  α_V</t>
  </si>
  <si>
    <t>Common retardation  R (engine)</t>
  </si>
  <si>
    <t>–</t>
  </si>
  <si>
    <t>Effective porosity  θ</t>
  </si>
  <si>
    <t>Time mode</t>
  </si>
  <si>
    <t>Mode  (1 = transient, 0 = steady state)</t>
  </si>
  <si>
    <t>Simulation time  t   (transient snapshot)</t>
  </si>
  <si>
    <t>yr</t>
  </si>
  <si>
    <t>Source geometry (vertical plane source at x = 0)</t>
  </si>
  <si>
    <t>Source width  Y   (in y)</t>
  </si>
  <si>
    <t>Source depth  Z   (in z)</t>
  </si>
  <si>
    <t>Per-species parameters</t>
  </si>
  <si>
    <t>Species</t>
  </si>
  <si>
    <t>Source C₀ (mg/L)</t>
  </si>
  <si>
    <t>Decay λ (1/yr)</t>
  </si>
  <si>
    <t>Retardation Rᵢ</t>
  </si>
  <si>
    <t>Yield from parent</t>
  </si>
  <si>
    <t>PCE</t>
  </si>
  <si>
    <t>—</t>
  </si>
  <si>
    <t>TCE</t>
  </si>
  <si>
    <t>DCE</t>
  </si>
  <si>
    <t>VC</t>
  </si>
  <si>
    <t>Common-R check:</t>
  </si>
  <si>
    <t>The closed-form Sun–Clement transform requires one retardation factor for the whole chain. Per-species Rᵢ are recorded above for documentation; the engine uses  R (engine).</t>
  </si>
  <si>
    <t>Plume-map grid extents (station counts are fixed)</t>
  </si>
  <si>
    <t>x range: min  (Nx = 31)</t>
  </si>
  <si>
    <t>x range: max</t>
  </si>
  <si>
    <t>y range: half-width  (Ny = 25)</t>
  </si>
  <si>
    <t>Breakthrough receptors &amp; time axis</t>
  </si>
  <si>
    <t>x (ft)</t>
  </si>
  <si>
    <t>y (ft)</t>
  </si>
  <si>
    <t>Receptor 1</t>
  </si>
  <si>
    <t>Receptor 2</t>
  </si>
  <si>
    <t>Receptor 3</t>
  </si>
  <si>
    <t>Breakthrough time: max  (Nt = 41)</t>
  </si>
  <si>
    <t>Centerline concentration vs. distance (y = 0)</t>
  </si>
  <si>
    <t>PCE  plume — concentration (mg/L), map view</t>
  </si>
  <si>
    <t>y \ x</t>
  </si>
  <si>
    <t>TCE  plume — concentration (mg/L), map view</t>
  </si>
  <si>
    <t>DCE  plume — concentration (mg/L), map view</t>
  </si>
  <si>
    <t>VC  plume — concentration (mg/L), map view</t>
  </si>
  <si>
    <t>Breakthrough curves — concentration vs. time at receptors</t>
  </si>
  <si>
    <t>(fz below @row5, fy @row6)</t>
  </si>
  <si>
    <t>t (yr)</t>
  </si>
  <si>
    <t>hx1</t>
  </si>
  <si>
    <t>hx2</t>
  </si>
  <si>
    <t>hx3</t>
  </si>
  <si>
    <t>hx4</t>
  </si>
  <si>
    <t>B1</t>
  </si>
  <si>
    <t>B2</t>
  </si>
  <si>
    <t>B3</t>
  </si>
  <si>
    <t>B4</t>
  </si>
  <si>
    <t>Validation — BIOCHLOR Cape Canaveral benchmark (self-contained)</t>
  </si>
  <si>
    <t>This sheet uses its own fixed benchmark inputs (independent of the Inputs sheet) and reproduces the Clement &amp; Sun reference solution embedded in the BIOCHLOR manual. It is a permanent regression check that the analytical engine is correct.</t>
  </si>
  <si>
    <t>vs (ft/yr)</t>
  </si>
  <si>
    <t>C0</t>
  </si>
  <si>
    <t>lambda</t>
  </si>
  <si>
    <t>yield</t>
  </si>
  <si>
    <t>alpha_L (ft)</t>
  </si>
  <si>
    <t>alpha_T (ft)</t>
  </si>
  <si>
    <t>alpha_V (ft)</t>
  </si>
  <si>
    <t>R</t>
  </si>
  <si>
    <t>Y source (ft)</t>
  </si>
  <si>
    <t>Z source (ft)</t>
  </si>
  <si>
    <t>mode</t>
  </si>
  <si>
    <t>v_c</t>
  </si>
  <si>
    <t>kf_1</t>
  </si>
  <si>
    <t>kf_2</t>
  </si>
  <si>
    <t>kf_3</t>
  </si>
  <si>
    <t>kf_4</t>
  </si>
  <si>
    <t>cc_1</t>
  </si>
  <si>
    <t>cc_2</t>
  </si>
  <si>
    <t>cc_3</t>
  </si>
  <si>
    <t>cc_4</t>
  </si>
  <si>
    <t>p21</t>
  </si>
  <si>
    <t>p32</t>
  </si>
  <si>
    <t>p31</t>
  </si>
  <si>
    <t>p43</t>
  </si>
  <si>
    <t>p42</t>
  </si>
  <si>
    <t>p41</t>
  </si>
  <si>
    <t>a0_1</t>
  </si>
  <si>
    <t>a0_2</t>
  </si>
  <si>
    <t>a0_3</t>
  </si>
  <si>
    <t>a0_4</t>
  </si>
  <si>
    <t>PCE calc</t>
  </si>
  <si>
    <t>TCE calc</t>
  </si>
  <si>
    <t>DCE calc</t>
  </si>
  <si>
    <t>VC calc</t>
  </si>
  <si>
    <t>PCE ref</t>
  </si>
  <si>
    <t>TCE ref</t>
  </si>
  <si>
    <t>DCE ref</t>
  </si>
  <si>
    <t>VC ref</t>
  </si>
  <si>
    <t>PCE %e</t>
  </si>
  <si>
    <t>TCE %e</t>
  </si>
  <si>
    <t>DCE %e</t>
  </si>
  <si>
    <t>VC %e</t>
  </si>
  <si>
    <t>Max % error vs reference:</t>
  </si>
  <si>
    <t>Numerical validation — analytical engine vs. an independent finite-difference model</t>
  </si>
  <si>
    <t>The concentrations this tool reports come from a closed-form analytical solution. To prove that solution is correct, it was checked against a completely independent method: a finite-difference (FD) numerical solve of the same coupled 3-D advection–dispersion–reaction equations for the PCE→TCE→DCE→VC chain, written from scratch. The two methods share no code. Agreement between them is strong evidence the engine is right.</t>
  </si>
  <si>
    <t>Result</t>
  </si>
  <si>
    <t>Across the BIOCHLOR Cape Canaveral benchmark, the analytical tool and the independent numerical model agree to within ~10% everywhere the concentration is meaningful — visually indistinguishable on the plots below. The small residual lives in the extreme low-concentration plume tail. (The FD model is shown for evidence only; it is not part of the delivered spreadsheet.)</t>
  </si>
  <si>
    <t>Reading Figure 3</t>
  </si>
  <si>
    <t>A first-order numerical scheme introduces artificial 'numerical dispersion' (≈ v·Δx/2) that smears the plume on a coarse grid. Figure 3 shows that error shrinking as the grid is refined — i.e. the numerical model converging toward the analytical solution — and dropping roughly five-fold (from ~56% to ~10%) once that term is removed with a grid-Péclet correction. The ~10% residual sits in the low-concentration plume tail. This is the expected, well-understood behaviour and confirms the analytical result is the correct limit.</t>
  </si>
  <si>
    <t>Figure 1 — Centerline: species concentration vs. distance</t>
  </si>
  <si>
    <t>Figure 2 — 2-D plume maps: DCE and VC</t>
  </si>
  <si>
    <t>Figure 3 — Grid convergence / numerical dispersion</t>
  </si>
  <si>
    <t>ENGINE — derived constants (do not edit)</t>
  </si>
  <si>
    <t>Retarded velocity  v_c = vₛ/R</t>
  </si>
  <si>
    <t>Effective decay  k_eff[PCE] = λ/R</t>
  </si>
  <si>
    <t>Effective decay  k_eff[TCE] = λ/R</t>
  </si>
  <si>
    <t>Effective decay  k_eff[DCE] = λ/R</t>
  </si>
  <si>
    <t>Effective decay  k_eff[VC] = λ/R</t>
  </si>
  <si>
    <t>cc[PCE] = √(1+4·k·α_L/v_c)</t>
  </si>
  <si>
    <t>cc[TCE] = √(1+4·k·α_L/v_c)</t>
  </si>
  <si>
    <t>cc[DCE] = √(1+4·k·α_L/v_c)</t>
  </si>
  <si>
    <t>cc[VC] = √(1+4·k·α_L/v_c)</t>
  </si>
  <si>
    <t>i</t>
  </si>
  <si>
    <t>fz</t>
  </si>
  <si>
    <t>A1</t>
  </si>
  <si>
    <t>A2</t>
  </si>
  <si>
    <t>A3</t>
  </si>
  <si>
    <t>A4</t>
  </si>
  <si>
    <t>D1</t>
  </si>
  <si>
    <t>D2</t>
  </si>
  <si>
    <t>D3</t>
  </si>
  <si>
    <t>D4</t>
  </si>
  <si>
    <t>fy_cl</t>
  </si>
  <si>
    <t>Overview</t>
  </si>
  <si>
    <t>Instructions</t>
  </si>
  <si>
    <t>Validation</t>
  </si>
  <si>
    <t>Scope &amp; Limitations</t>
  </si>
  <si>
    <t>INPUTS</t>
  </si>
  <si>
    <t>●  pbdot</t>
  </si>
  <si>
    <t>GROUNDWATER FATE &amp; TRANSPORT</t>
  </si>
  <si>
    <t>In scope: advection, dispersion, sorption, first-order decay, and daughter generation for the fixed PCE→TCE→DCE→VC chain. It assumes uniform flow in +x, a constant vertical-plane source, and — as the closed-form Sun–Clement transform requires — a common retardation factor across the chain (per-species Rᵢ are recorded on  Inputs  and flagged if they differ). It is a screening tool: no heterogeneous or numerical flow field, no scale-based dispersivity estimator, no georeferenced basemap. For those, step up to a numerical model. See The Landscape tab for how Downgradient sits among the alternatives.</t>
  </si>
  <si>
    <t xml:space="preserve">Built by the pbdot team with support from N.A.Kaminski and Prof.dottie — an AI advisor.  </t>
  </si>
  <si>
    <t>Tool</t>
  </si>
  <si>
    <t>What / cost</t>
  </si>
  <si>
    <t>EPA BIOCHLOR</t>
  </si>
  <si>
    <t>Free · Excel (macros)</t>
  </si>
  <si>
    <r>
      <t>Yes </t>
    </r>
    <r>
      <rPr>
        <b/>
        <sz val="9.4"/>
        <color rgb="FF5A6B74"/>
        <rFont val="Aptos"/>
      </rPr>
      <t>(1–2 zones)</t>
    </r>
  </si>
  <si>
    <t>Transient at set time</t>
  </si>
  <si>
    <r>
      <t>Excel, but macro-driven </t>
    </r>
    <r>
      <rPr>
        <b/>
        <sz val="9.4"/>
        <color rgb="FF5A6B74"/>
        <rFont val="Aptos"/>
      </rPr>
      <t>(run button, not live)</t>
    </r>
  </si>
  <si>
    <r>
      <t>5×10 array + centerline </t>
    </r>
    <r>
      <rPr>
        <b/>
        <sz val="9.4"/>
        <color rgb="FF5A6B74"/>
        <rFont val="Aptos"/>
      </rPr>
      <t>(dated)</t>
    </r>
  </si>
  <si>
    <t>Benchmarked in manual</t>
  </si>
  <si>
    <t>EPA BIOSCREEN</t>
  </si>
  <si>
    <r>
      <t>No </t>
    </r>
    <r>
      <rPr>
        <b/>
        <sz val="9.4"/>
        <color rgb="FF5A6B74"/>
        <rFont val="Aptos"/>
      </rPr>
      <t>(BTEX, single solute)</t>
    </r>
  </si>
  <si>
    <t>Macro-driven</t>
  </si>
  <si>
    <t>Array + centerline</t>
  </si>
  <si>
    <t>EPA REMChlor / -MD</t>
  </si>
  <si>
    <t>Free · Excel + compiled engine</t>
  </si>
  <si>
    <r>
      <t>Yes </t>
    </r>
    <r>
      <rPr>
        <b/>
        <sz val="9.4"/>
        <color rgb="FF5A6B74"/>
        <rFont val="Aptos"/>
      </rPr>
      <t>+ source decay, matrix diffusion</t>
    </r>
  </si>
  <si>
    <t>Yes</t>
  </si>
  <si>
    <t>Front-end + external engine</t>
  </si>
  <si>
    <t>Profiles &amp; contours</t>
  </si>
  <si>
    <t>Peer-reviewed</t>
  </si>
  <si>
    <r>
      <t>Quick Domenico </t>
    </r>
    <r>
      <rPr>
        <b/>
        <sz val="9.4"/>
        <color rgb="FF5A6B74"/>
        <rFont val="Aptos"/>
      </rPr>
      <t>(PA DEP)</t>
    </r>
  </si>
  <si>
    <t>Free · Excel</t>
  </si>
  <si>
    <r>
      <t>No </t>
    </r>
    <r>
      <rPr>
        <b/>
        <sz val="9.4"/>
        <color rgb="FF5A6B74"/>
        <rFont val="Aptos"/>
      </rPr>
      <t>(single species)</t>
    </r>
  </si>
  <si>
    <t>Steady / set time</t>
  </si>
  <si>
    <t>Tabular</t>
  </si>
  <si>
    <t>No</t>
  </si>
  <si>
    <t>Online Domenico calculators</t>
  </si>
  <si>
    <t>Free · web</t>
  </si>
  <si>
    <t>Varies</t>
  </si>
  <si>
    <t>Web form</t>
  </si>
  <si>
    <t>Basic plot</t>
  </si>
  <si>
    <r>
      <t>Numerical </t>
    </r>
    <r>
      <rPr>
        <b/>
        <sz val="9.4"/>
        <color rgb="FF5A6B74"/>
        <rFont val="Aptos"/>
      </rPr>
      <t>(MODFLOW + MT3DMS/RT3D via GMS, Vistas, Visual MODFLOW)</t>
    </r>
  </si>
  <si>
    <t>$$$ + modelling expertise</t>
  </si>
  <si>
    <r>
      <t>Yes </t>
    </r>
    <r>
      <rPr>
        <b/>
        <sz val="9.4"/>
        <color rgb="FF5A6B74"/>
        <rFont val="Aptos"/>
      </rPr>
      <t>(full reaction network)</t>
    </r>
  </si>
  <si>
    <t>Dedicated software</t>
  </si>
  <si>
    <t>Full GIS contours</t>
  </si>
  <si>
    <t>Yes — PCE→TCE→DCE→VC</t>
  </si>
  <si>
    <t>Both, one toggle</t>
  </si>
  <si>
    <t>Native formulas — no macros,</t>
  </si>
  <si>
    <t>recalcs as you type</t>
  </si>
  <si>
    <t>Per-species heatmaps</t>
  </si>
  <si>
    <t>+ receptor breakthrough</t>
  </si>
  <si>
    <t>Live BIOCHLOR benchmark</t>
  </si>
  <si>
    <t>+ independent numerical check</t>
  </si>
  <si>
    <t>Sequential decay chain</t>
  </si>
  <si>
    <t>Native Excel ·no macros · live</t>
  </si>
  <si>
    <t>Plume maps + breakthrough</t>
  </si>
  <si>
    <t>Validation in-tool</t>
  </si>
  <si>
    <t>Transient + steady</t>
  </si>
  <si>
    <t>pbdot, open to all</t>
  </si>
  <si>
    <t>Downgradient (this tool)</t>
  </si>
  <si>
    <r>
      <t>Yes</t>
    </r>
    <r>
      <rPr>
        <sz val="9"/>
        <color rgb="FF5A6B74"/>
        <rFont val="Segoe UI"/>
        <family val="2"/>
      </rPr>
      <t> = does it well  ·  </t>
    </r>
    <r>
      <rPr>
        <b/>
        <sz val="9"/>
        <color rgb="FFB56B23"/>
        <rFont val="Segoe UI"/>
        <family val="2"/>
      </rPr>
      <t>Partial</t>
    </r>
    <r>
      <rPr>
        <sz val="9"/>
        <color rgb="FF5A6B74"/>
        <rFont val="Segoe UI"/>
        <family val="2"/>
      </rPr>
      <t> = limited / caveated  ·  </t>
    </r>
    <r>
      <rPr>
        <b/>
        <sz val="9"/>
        <color rgb="FFB3603E"/>
        <rFont val="Segoe UI"/>
        <family val="2"/>
      </rPr>
      <t>No</t>
    </r>
    <r>
      <rPr>
        <sz val="9"/>
        <color rgb="FF5A6B74"/>
        <rFont val="Segoe UI"/>
        <family val="2"/>
      </rPr>
      <t> = not offered.</t>
    </r>
  </si>
  <si>
    <r>
      <t>The Landscape — compiled by the pbdot team with Prof. dottie. Verified against primary sources including </t>
    </r>
    <r>
      <rPr>
        <sz val="8"/>
        <color rgb="FF2E6C97"/>
        <rFont val="Segoe UI"/>
        <family val="2"/>
      </rPr>
      <t>EPA BIOCHLOR</t>
    </r>
    <r>
      <rPr>
        <sz val="8"/>
        <color rgb="FF5A6B74"/>
        <rFont val="Segoe UI"/>
        <family val="2"/>
      </rPr>
      <t>, </t>
    </r>
    <r>
      <rPr>
        <sz val="8"/>
        <color rgb="FF2E6C97"/>
        <rFont val="Segoe UI"/>
        <family val="2"/>
      </rPr>
      <t>EPA BIOSCREEN</t>
    </r>
    <r>
      <rPr>
        <sz val="8"/>
        <color rgb="FF5A6B74"/>
        <rFont val="Segoe UI"/>
        <family val="2"/>
      </rPr>
      <t>, </t>
    </r>
    <r>
      <rPr>
        <sz val="8"/>
        <color rgb="FF2E6C97"/>
        <rFont val="Segoe UI"/>
        <family val="2"/>
      </rPr>
      <t>EPA REMChlor / REMChlor-MD</t>
    </r>
    <r>
      <rPr>
        <sz val="8"/>
        <color rgb="FF5A6B74"/>
        <rFont val="Segoe UI"/>
        <family val="2"/>
      </rPr>
      <t>, the </t>
    </r>
    <r>
      <rPr>
        <sz val="8"/>
        <color rgb="FF2E6C97"/>
        <rFont val="Segoe UI"/>
        <family val="2"/>
      </rPr>
      <t>RT3D reactive-transport engine</t>
    </r>
    <r>
      <rPr>
        <sz val="8"/>
        <color rgb="FF5A6B74"/>
        <rFont val="Segoe UI"/>
        <family val="2"/>
      </rPr>
      <t>, and the </t>
    </r>
    <r>
      <rPr>
        <sz val="8"/>
        <color rgb="FF2E6C97"/>
        <rFont val="Segoe UI"/>
        <family val="2"/>
      </rPr>
      <t>PA DEP Quick Domenico</t>
    </r>
    <r>
      <rPr>
        <sz val="8"/>
        <color rgb="FF5A6B74"/>
        <rFont val="Segoe UI"/>
        <family val="2"/>
      </rPr>
      <t> tool.</t>
    </r>
  </si>
  <si>
    <t>Downgradient reproduces the BIOCHLOR Cape Canaveral benchmark to a rounding error and agrees with an independent finite-difference model to ~10%.</t>
  </si>
  <si>
    <t>The Landscape</t>
  </si>
  <si>
    <r>
      <rPr>
        <b/>
        <sz val="11"/>
        <color rgb="FF22303A"/>
        <rFont val="Segoe UI"/>
        <family val="2"/>
      </rPr>
      <t>Downgradient</t>
    </r>
    <r>
      <rPr>
        <sz val="11"/>
        <color rgb="FF5A6B74"/>
        <rFont val="Segoe UI"/>
        <family val="2"/>
      </rPr>
      <t> — an Excel, no-macros analytical fate-and-transport tool for the chlorinated-ethene decay chain (PCE→TCE→DCE→VC): Domenico solution + Sun–Clement sequential decay.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</si>
</sst>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###"/>
    <numFmt numFmtId="165" formatCode="0.####"/>
    <numFmt numFmtId="166" formatCode="0.#####"/>
    <numFmt numFmtId="167" formatCode="0.000000"/>
    <numFmt numFmtId="168" formatCode="0.000E+00"/>
    <numFmt numFmtId="169" formatCode="0.0E+0"/>
    <numFmt numFmtId="170" formatCode="0.000"/>
    <numFmt numFmtId="171" formatCode="0.#"/>
    <numFmt numFmtId="172" formatCode="0.0000"/>
  </numFmts>
  <fonts count="50">
    <font>
      <sz val="11"/>
      <color theme="1"/>
      <name val="Calibri"/>
      <family val="2"/>
      <scheme val="minor"/>
    </font>
    <font>
      <b/>
      <sz val="13"/>
      <color rgb="FF2E6C97"/>
      <name val="Georgia"/>
    </font>
    <font>
      <sz val="9.5"/>
      <color rgb="FFB56B23"/>
      <name val="Consolas"/>
    </font>
    <font>
      <b/>
      <sz val="30"/>
      <color rgb="FF22303A"/>
      <name val="Georgia"/>
    </font>
    <font>
      <b/>
      <sz val="13"/>
      <color rgb="FF41652F"/>
      <name val="Georgia"/>
    </font>
    <font>
      <sz val="10.5"/>
      <color rgb="FF22303A"/>
      <name val="Segoe UI"/>
    </font>
    <font>
      <i/>
      <sz val="8"/>
      <color rgb="FF5A6B74"/>
      <name val="Segoe UI"/>
    </font>
    <font>
      <b/>
      <sz val="13"/>
      <color rgb="FFFFFFFF"/>
      <name val="Georgia"/>
    </font>
    <font>
      <b/>
      <sz val="13"/>
      <color rgb="FFFFFFFF"/>
      <name val="Calibri"/>
    </font>
    <font>
      <b/>
      <sz val="11"/>
      <color rgb="FF22303A"/>
      <name val="Georgia"/>
    </font>
    <font>
      <sz val="10"/>
      <name val="Calibri"/>
    </font>
    <font>
      <i/>
      <sz val="9"/>
      <color rgb="FF777777"/>
      <name val="Calibri"/>
    </font>
    <font>
      <b/>
      <sz val="9"/>
      <color rgb="FFFFFFFF"/>
      <name val="Calibri"/>
    </font>
    <font>
      <b/>
      <sz val="11"/>
      <color rgb="FF22303A"/>
      <name val="Calibri"/>
    </font>
    <font>
      <b/>
      <sz val="9"/>
      <color rgb="FF22303A"/>
      <name val="Calibri"/>
    </font>
    <font>
      <sz val="9"/>
      <name val="Calibri"/>
    </font>
    <font>
      <i/>
      <sz val="8"/>
      <color rgb="FF999999"/>
      <name val="Calibri"/>
    </font>
    <font>
      <b/>
      <sz val="9"/>
      <name val="Calibri"/>
    </font>
    <font>
      <b/>
      <sz val="11"/>
      <color rgb="FFFFFFFF"/>
      <name val="Georgia"/>
    </font>
    <font>
      <b/>
      <sz val="8"/>
      <color rgb="FFFFFFFF"/>
      <name val="Calibri"/>
    </font>
    <font>
      <i/>
      <sz val="11"/>
      <color rgb="FF666666"/>
      <name val="Calibri"/>
    </font>
    <font>
      <b/>
      <sz val="11"/>
      <color rgb="FFFFFFFF"/>
      <name val="Calibri"/>
    </font>
    <font>
      <b/>
      <sz val="12"/>
      <color rgb="FFFFFFFF"/>
      <name val="Georgia"/>
    </font>
    <font>
      <i/>
      <sz val="9"/>
      <color rgb="FF666666"/>
      <name val="Calibri"/>
    </font>
    <font>
      <b/>
      <sz val="8"/>
      <name val="Calibri"/>
    </font>
    <font>
      <sz val="8"/>
      <name val="Calibri"/>
    </font>
    <font>
      <sz val="7"/>
      <name val="Calibri"/>
    </font>
    <font>
      <i/>
      <sz val="7"/>
      <color rgb="FFAAAAAA"/>
      <name val="Calibri"/>
    </font>
    <font>
      <sz val="7"/>
      <color rgb="FFAAAAAA"/>
      <name val="Calibri"/>
    </font>
    <font>
      <b/>
      <sz val="11"/>
      <name val="Calibri"/>
    </font>
    <font>
      <b/>
      <sz val="11"/>
      <color rgb="FF5C8A52"/>
      <name val="Calibri"/>
    </font>
    <font>
      <sz val="9.5"/>
      <color rgb="FF222222"/>
      <name val="Calibri"/>
    </font>
    <font>
      <b/>
      <sz val="10"/>
      <color rgb="FF22303A"/>
      <name val="Calibri"/>
    </font>
    <font>
      <b/>
      <sz val="8.3000000000000007"/>
      <color rgb="FF1F4D6E"/>
      <name val="Mulish"/>
    </font>
    <font>
      <b/>
      <sz val="9.4"/>
      <color rgb="FF22303A"/>
      <name val="Aptos"/>
    </font>
    <font>
      <sz val="9.4"/>
      <color rgb="FF5A6B74"/>
      <name val="Aptos"/>
    </font>
    <font>
      <b/>
      <sz val="9.4"/>
      <color rgb="FF41652F"/>
      <name val="Aptos"/>
    </font>
    <font>
      <b/>
      <sz val="9.4"/>
      <color rgb="FF5A6B74"/>
      <name val="Aptos"/>
    </font>
    <font>
      <b/>
      <sz val="9.4"/>
      <color rgb="FFB56B23"/>
      <name val="Aptos"/>
    </font>
    <font>
      <b/>
      <sz val="9.4"/>
      <color rgb="FFB3603E"/>
      <name val="Aptos"/>
    </font>
    <font>
      <b/>
      <sz val="9.4"/>
      <color rgb="FF1F4D6E"/>
      <name val="Aptos"/>
    </font>
    <font>
      <b/>
      <sz val="9"/>
      <color rgb="FF41652F"/>
      <name val="Segoe UI"/>
      <family val="2"/>
    </font>
    <font>
      <sz val="9"/>
      <color rgb="FF5A6B74"/>
      <name val="Segoe UI"/>
      <family val="2"/>
    </font>
    <font>
      <b/>
      <sz val="9"/>
      <color rgb="FFB56B23"/>
      <name val="Segoe UI"/>
      <family val="2"/>
    </font>
    <font>
      <b/>
      <sz val="9"/>
      <color rgb="FFB3603E"/>
      <name val="Segoe UI"/>
      <family val="2"/>
    </font>
    <font>
      <sz val="8"/>
      <color rgb="FF5A6B74"/>
      <name val="Segoe UI"/>
      <family val="2"/>
    </font>
    <font>
      <sz val="8"/>
      <color rgb="FF2E6C97"/>
      <name val="Segoe UI"/>
      <family val="2"/>
    </font>
    <font>
      <sz val="23"/>
      <color rgb="FF22303A"/>
      <name val="Georgia"/>
      <family val="1"/>
    </font>
    <font>
      <sz val="11"/>
      <color rgb="FF5A6B74"/>
      <name val="Segoe UI"/>
      <family val="2"/>
    </font>
    <font>
      <b/>
      <sz val="11"/>
      <color rgb="FF22303A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2E6C97"/>
      </patternFill>
    </fill>
    <fill>
      <patternFill patternType="solid">
        <fgColor rgb="FFF3EFE8"/>
      </patternFill>
    </fill>
    <fill>
      <patternFill patternType="solid">
        <fgColor rgb="FFFBEFD9"/>
      </patternFill>
    </fill>
    <fill>
      <patternFill patternType="solid">
        <fgColor rgb="FFF2EDE4"/>
      </patternFill>
    </fill>
    <fill>
      <patternFill patternType="solid">
        <fgColor rgb="FF3F7A54"/>
      </patternFill>
    </fill>
    <fill>
      <patternFill patternType="solid">
        <fgColor rgb="FFF3EFE8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D9D2C6"/>
      </left>
      <right style="thin">
        <color rgb="FFD9D2C6"/>
      </right>
      <top style="thin">
        <color rgb="FFD9D2C6"/>
      </top>
      <bottom style="thin">
        <color rgb="FFD9D2C6"/>
      </bottom>
      <diagonal/>
    </border>
    <border>
      <left/>
      <right/>
      <top style="thin">
        <color rgb="FFD9D2C6"/>
      </top>
      <bottom style="thin">
        <color rgb="FFD9D2C6"/>
      </bottom>
      <diagonal/>
    </border>
    <border>
      <left/>
      <right/>
      <top style="thin">
        <color rgb="FFD9D2C6"/>
      </top>
      <bottom style="thick">
        <color rgb="FF2E6C97"/>
      </bottom>
      <diagonal/>
    </border>
    <border>
      <left/>
      <right/>
      <top style="thick">
        <color rgb="FF2E6C97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top" wrapText="1"/>
    </xf>
    <xf numFmtId="0" fontId="6" fillId="0" borderId="0" xfId="0" applyFont="1"/>
    <xf numFmtId="0" fontId="10" fillId="0" borderId="0" xfId="0" applyFont="1"/>
    <xf numFmtId="164" fontId="0" fillId="4" borderId="1" xfId="0" applyNumberFormat="1" applyFill="1" applyBorder="1" applyAlignment="1">
      <alignment horizontal="center"/>
    </xf>
    <xf numFmtId="0" fontId="11" fillId="0" borderId="0" xfId="0" applyFont="1"/>
    <xf numFmtId="1" fontId="0" fillId="4" borderId="1" xfId="0" applyNumberForma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/>
    <xf numFmtId="165" fontId="0" fillId="4" borderId="1" xfId="0" applyNumberFormat="1" applyFill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4" borderId="1" xfId="0" applyNumberFormat="1" applyFill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7" fillId="0" borderId="0" xfId="0" applyFont="1"/>
    <xf numFmtId="0" fontId="0" fillId="4" borderId="1" xfId="0" applyFill="1" applyBorder="1"/>
    <xf numFmtId="0" fontId="20" fillId="0" borderId="0" xfId="0" applyFont="1"/>
    <xf numFmtId="0" fontId="21" fillId="2" borderId="0" xfId="0" applyFont="1" applyFill="1" applyAlignment="1">
      <alignment horizontal="center"/>
    </xf>
    <xf numFmtId="1" fontId="0" fillId="0" borderId="0" xfId="0" applyNumberFormat="1"/>
    <xf numFmtId="168" fontId="0" fillId="0" borderId="0" xfId="0" applyNumberFormat="1"/>
    <xf numFmtId="0" fontId="24" fillId="0" borderId="0" xfId="0" applyFont="1"/>
    <xf numFmtId="1" fontId="24" fillId="3" borderId="0" xfId="0" applyNumberFormat="1" applyFont="1" applyFill="1"/>
    <xf numFmtId="1" fontId="25" fillId="0" borderId="0" xfId="0" applyNumberFormat="1" applyFont="1"/>
    <xf numFmtId="169" fontId="26" fillId="0" borderId="0" xfId="0" applyNumberFormat="1" applyFont="1"/>
    <xf numFmtId="0" fontId="27" fillId="0" borderId="0" xfId="0" applyFont="1"/>
    <xf numFmtId="170" fontId="0" fillId="0" borderId="0" xfId="0" applyNumberFormat="1"/>
    <xf numFmtId="0" fontId="21" fillId="2" borderId="0" xfId="0" applyFont="1" applyFill="1"/>
    <xf numFmtId="0" fontId="28" fillId="0" borderId="0" xfId="0" applyFont="1"/>
    <xf numFmtId="0" fontId="19" fillId="2" borderId="0" xfId="0" applyFont="1" applyFill="1"/>
    <xf numFmtId="171" fontId="0" fillId="0" borderId="0" xfId="0" applyNumberFormat="1"/>
    <xf numFmtId="165" fontId="0" fillId="5" borderId="0" xfId="0" applyNumberFormat="1" applyFill="1"/>
    <xf numFmtId="0" fontId="0" fillId="5" borderId="0" xfId="0" applyFill="1"/>
    <xf numFmtId="0" fontId="29" fillId="0" borderId="0" xfId="0" applyFont="1"/>
    <xf numFmtId="172" fontId="29" fillId="0" borderId="0" xfId="0" applyNumberFormat="1" applyFont="1"/>
    <xf numFmtId="0" fontId="30" fillId="0" borderId="0" xfId="0" applyFont="1"/>
    <xf numFmtId="0" fontId="32" fillId="0" borderId="0" xfId="0" applyFont="1"/>
    <xf numFmtId="167" fontId="0" fillId="5" borderId="0" xfId="0" applyNumberFormat="1" applyFill="1"/>
    <xf numFmtId="11" fontId="0" fillId="0" borderId="0" xfId="0" applyNumberFormat="1"/>
    <xf numFmtId="0" fontId="0" fillId="0" borderId="0" xfId="0" applyAlignment="1">
      <alignment horizontal="left"/>
    </xf>
    <xf numFmtId="170" fontId="0" fillId="0" borderId="0" xfId="0" applyNumberFormat="1" applyAlignment="1">
      <alignment horizontal="left"/>
    </xf>
    <xf numFmtId="0" fontId="8" fillId="2" borderId="0" xfId="0" applyFont="1" applyFill="1" applyAlignment="1">
      <alignment horizontal="left" vertical="center"/>
    </xf>
    <xf numFmtId="0" fontId="0" fillId="0" borderId="0" xfId="0"/>
    <xf numFmtId="0" fontId="16" fillId="0" borderId="0" xfId="0" applyFont="1"/>
    <xf numFmtId="0" fontId="9" fillId="3" borderId="0" xfId="0" applyFont="1" applyFill="1" applyAlignment="1">
      <alignment horizontal="left" vertical="center"/>
    </xf>
    <xf numFmtId="0" fontId="15" fillId="0" borderId="0" xfId="0" applyFont="1"/>
    <xf numFmtId="0" fontId="7" fillId="2" borderId="0" xfId="0" applyFont="1" applyFill="1" applyAlignment="1">
      <alignment horizontal="left" vertical="center"/>
    </xf>
    <xf numFmtId="0" fontId="23" fillId="0" borderId="0" xfId="0" applyFont="1"/>
    <xf numFmtId="0" fontId="22" fillId="2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21" fillId="6" borderId="0" xfId="0" applyFont="1" applyFill="1"/>
    <xf numFmtId="0" fontId="31" fillId="0" borderId="0" xfId="0" applyFont="1" applyAlignment="1">
      <alignment vertical="top" wrapText="1"/>
    </xf>
    <xf numFmtId="0" fontId="18" fillId="2" borderId="0" xfId="0" applyFont="1" applyFill="1" applyAlignment="1">
      <alignment horizontal="left" vertical="center"/>
    </xf>
    <xf numFmtId="0" fontId="33" fillId="7" borderId="0" xfId="0" applyFont="1" applyFill="1" applyAlignment="1">
      <alignment horizontal="left" vertical="center" wrapText="1" readingOrder="1"/>
    </xf>
    <xf numFmtId="0" fontId="34" fillId="0" borderId="2" xfId="0" applyFont="1" applyBorder="1" applyAlignment="1">
      <alignment horizontal="left" vertical="center" wrapText="1" readingOrder="1"/>
    </xf>
    <xf numFmtId="0" fontId="35" fillId="0" borderId="2" xfId="0" applyFont="1" applyBorder="1" applyAlignment="1">
      <alignment horizontal="left" vertical="center" wrapText="1" readingOrder="1"/>
    </xf>
    <xf numFmtId="0" fontId="36" fillId="0" borderId="2" xfId="0" applyFont="1" applyBorder="1" applyAlignment="1">
      <alignment horizontal="left" vertical="center" wrapText="1" readingOrder="1"/>
    </xf>
    <xf numFmtId="0" fontId="38" fillId="0" borderId="2" xfId="0" applyFont="1" applyBorder="1" applyAlignment="1">
      <alignment horizontal="left" vertical="center" wrapText="1" readingOrder="1"/>
    </xf>
    <xf numFmtId="0" fontId="39" fillId="0" borderId="2" xfId="0" applyFont="1" applyBorder="1" applyAlignment="1">
      <alignment horizontal="left" vertical="center" wrapText="1" readingOrder="1"/>
    </xf>
    <xf numFmtId="0" fontId="34" fillId="0" borderId="3" xfId="0" applyFont="1" applyBorder="1" applyAlignment="1">
      <alignment horizontal="left" vertical="center" wrapText="1" readingOrder="1"/>
    </xf>
    <xf numFmtId="0" fontId="35" fillId="0" borderId="3" xfId="0" applyFont="1" applyBorder="1" applyAlignment="1">
      <alignment horizontal="left" vertical="center" wrapText="1" readingOrder="1"/>
    </xf>
    <xf numFmtId="0" fontId="36" fillId="0" borderId="3" xfId="0" applyFont="1" applyBorder="1" applyAlignment="1">
      <alignment horizontal="left" vertical="center" wrapText="1" readingOrder="1"/>
    </xf>
    <xf numFmtId="0" fontId="39" fillId="0" borderId="3" xfId="0" applyFont="1" applyBorder="1" applyAlignment="1">
      <alignment horizontal="left" vertical="center" wrapText="1" readingOrder="1"/>
    </xf>
    <xf numFmtId="0" fontId="40" fillId="8" borderId="4" xfId="0" applyFont="1" applyFill="1" applyBorder="1" applyAlignment="1">
      <alignment horizontal="left" vertical="center" wrapText="1" readingOrder="1"/>
    </xf>
    <xf numFmtId="0" fontId="35" fillId="8" borderId="4" xfId="0" applyFont="1" applyFill="1" applyBorder="1" applyAlignment="1">
      <alignment horizontal="left" vertical="center" wrapText="1" readingOrder="1"/>
    </xf>
    <xf numFmtId="0" fontId="36" fillId="8" borderId="4" xfId="0" applyFont="1" applyFill="1" applyBorder="1" applyAlignment="1">
      <alignment horizontal="left" vertical="center" wrapText="1" readingOrder="1"/>
    </xf>
    <xf numFmtId="0" fontId="36" fillId="8" borderId="4" xfId="0" applyFont="1" applyFill="1" applyBorder="1" applyAlignment="1">
      <alignment horizontal="left" vertical="center" wrapText="1" readingOrder="1"/>
    </xf>
    <xf numFmtId="0" fontId="40" fillId="8" borderId="0" xfId="0" applyFont="1" applyFill="1" applyBorder="1" applyAlignment="1">
      <alignment horizontal="left" vertical="center" wrapText="1" readingOrder="1"/>
    </xf>
    <xf numFmtId="0" fontId="35" fillId="8" borderId="0" xfId="0" applyFont="1" applyFill="1" applyBorder="1" applyAlignment="1">
      <alignment horizontal="left" vertical="center" wrapText="1" readingOrder="1"/>
    </xf>
    <xf numFmtId="0" fontId="36" fillId="8" borderId="0" xfId="0" applyFont="1" applyFill="1" applyBorder="1" applyAlignment="1">
      <alignment horizontal="left" vertical="center" wrapText="1" readingOrder="1"/>
    </xf>
    <xf numFmtId="0" fontId="36" fillId="8" borderId="0" xfId="0" applyFont="1" applyFill="1" applyAlignment="1">
      <alignment horizontal="left" vertical="center" wrapText="1" readingOrder="1"/>
    </xf>
    <xf numFmtId="0" fontId="41" fillId="0" borderId="0" xfId="0" applyFont="1"/>
    <xf numFmtId="0" fontId="45" fillId="0" borderId="0" xfId="0" applyFont="1"/>
    <xf numFmtId="0" fontId="48" fillId="0" borderId="0" xfId="0" applyFont="1" applyAlignment="1">
      <alignment vertical="center"/>
    </xf>
    <xf numFmtId="0" fontId="47" fillId="0" borderId="0" xfId="0" applyFont="1" applyAlignment="1">
      <alignment vertical="center"/>
    </xf>
  </cellXfs>
  <cellStyles count="1">
    <cellStyle name="Normal" xfId="0" builtinId="0"/>
  </cellStyles>
  <dxfs count="1">
    <dxf>
      <fill>
        <patternFill patternType="solid">
          <fgColor rgb="FFEFD6C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scatterChart>
        <c:scatterStyle val="lineMarker"/>
        <c:varyColors val="1"/>
        <c:ser>
          <c:idx val="0"/>
          <c:order val="0"/>
          <c:tx>
            <c:strRef>
              <c:f>Centerline!$C$5</c:f>
              <c:strCache>
                <c:ptCount val="1"/>
                <c:pt idx="0">
                  <c:v>PCE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xVal>
            <c:numRef>
              <c:f>Centerline!$B$6:$B$36</c:f>
              <c:numCache>
                <c:formatCode>0</c:formatCode>
                <c:ptCount val="3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  <c:pt idx="13">
                  <c:v>260</c:v>
                </c:pt>
                <c:pt idx="14">
                  <c:v>280</c:v>
                </c:pt>
                <c:pt idx="15">
                  <c:v>300</c:v>
                </c:pt>
                <c:pt idx="16">
                  <c:v>320</c:v>
                </c:pt>
                <c:pt idx="17">
                  <c:v>340</c:v>
                </c:pt>
                <c:pt idx="18">
                  <c:v>360</c:v>
                </c:pt>
                <c:pt idx="19">
                  <c:v>380</c:v>
                </c:pt>
                <c:pt idx="20">
                  <c:v>400</c:v>
                </c:pt>
                <c:pt idx="21">
                  <c:v>420</c:v>
                </c:pt>
                <c:pt idx="22">
                  <c:v>440</c:v>
                </c:pt>
                <c:pt idx="23">
                  <c:v>460</c:v>
                </c:pt>
                <c:pt idx="24">
                  <c:v>480</c:v>
                </c:pt>
                <c:pt idx="25">
                  <c:v>500</c:v>
                </c:pt>
                <c:pt idx="26">
                  <c:v>520</c:v>
                </c:pt>
                <c:pt idx="27">
                  <c:v>540</c:v>
                </c:pt>
                <c:pt idx="28">
                  <c:v>560</c:v>
                </c:pt>
                <c:pt idx="29">
                  <c:v>580</c:v>
                </c:pt>
                <c:pt idx="30">
                  <c:v>600</c:v>
                </c:pt>
              </c:numCache>
            </c:numRef>
          </c:xVal>
          <c:yVal>
            <c:numRef>
              <c:f>Centerline!$C$6:$C$36</c:f>
              <c:numCache>
                <c:formatCode>0.000E+00</c:formatCode>
                <c:ptCount val="31"/>
                <c:pt idx="0">
                  <c:v>0.1</c:v>
                </c:pt>
                <c:pt idx="1">
                  <c:v>7.4869990391071478E-2</c:v>
                </c:pt>
                <c:pt idx="2">
                  <c:v>5.6054442714892412E-2</c:v>
                </c:pt>
                <c:pt idx="3">
                  <c:v>4.1953169607941598E-2</c:v>
                </c:pt>
                <c:pt idx="4">
                  <c:v>3.1358198902891488E-2</c:v>
                </c:pt>
                <c:pt idx="5">
                  <c:v>2.3389848500242044E-2</c:v>
                </c:pt>
                <c:pt idx="6">
                  <c:v>1.7406980033622527E-2</c:v>
                </c:pt>
                <c:pt idx="7">
                  <c:v>1.2928353000415995E-2</c:v>
                </c:pt>
                <c:pt idx="8">
                  <c:v>9.5863234171252535E-3</c:v>
                </c:pt>
                <c:pt idx="9">
                  <c:v>7.099317905530738E-3</c:v>
                </c:pt>
                <c:pt idx="10">
                  <c:v>5.2526880456565629E-3</c:v>
                </c:pt>
                <c:pt idx="11">
                  <c:v>3.8838712370337296E-3</c:v>
                </c:pt>
                <c:pt idx="12">
                  <c:v>2.8705094249468041E-3</c:v>
                </c:pt>
                <c:pt idx="13">
                  <c:v>2.1209759182335966E-3</c:v>
                </c:pt>
                <c:pt idx="14">
                  <c:v>1.5669311736100932E-3</c:v>
                </c:pt>
                <c:pt idx="15">
                  <c:v>1.1575590525865159E-3</c:v>
                </c:pt>
                <c:pt idx="16">
                  <c:v>8.5515897898160071E-4</c:v>
                </c:pt>
                <c:pt idx="17">
                  <c:v>6.3180720853828881E-4</c:v>
                </c:pt>
                <c:pt idx="18">
                  <c:v>4.6684613513080811E-4</c:v>
                </c:pt>
                <c:pt idx="19">
                  <c:v>3.4500641737383788E-4</c:v>
                </c:pt>
                <c:pt idx="20">
                  <c:v>2.5500800664613469E-4</c:v>
                </c:pt>
                <c:pt idx="21">
                  <c:v>1.88520993920063E-4</c:v>
                </c:pt>
                <c:pt idx="22">
                  <c:v>1.3939538001459488E-4</c:v>
                </c:pt>
                <c:pt idx="23">
                  <c:v>1.0309105905227276E-4</c:v>
                </c:pt>
                <c:pt idx="24">
                  <c:v>7.6256438851489406E-5</c:v>
                </c:pt>
                <c:pt idx="25">
                  <c:v>5.6417180800325285E-5</c:v>
                </c:pt>
                <c:pt idx="26">
                  <c:v>4.1746401360305088E-5</c:v>
                </c:pt>
                <c:pt idx="27">
                  <c:v>3.0895071169398711E-5</c:v>
                </c:pt>
                <c:pt idx="28">
                  <c:v>2.2866865182402112E-5</c:v>
                </c:pt>
                <c:pt idx="29">
                  <c:v>1.6925819822431433E-5</c:v>
                </c:pt>
                <c:pt idx="30">
                  <c:v>1.2528195608372545E-5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74B-4320-98AD-F5F150CAD118}"/>
            </c:ext>
          </c:extLst>
        </c:ser>
        <c:ser>
          <c:idx val="1"/>
          <c:order val="1"/>
          <c:tx>
            <c:strRef>
              <c:f>Centerline!$D$5</c:f>
              <c:strCache>
                <c:ptCount val="1"/>
                <c:pt idx="0">
                  <c:v>TCE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xVal>
            <c:numRef>
              <c:f>Centerline!$B$6:$B$36</c:f>
              <c:numCache>
                <c:formatCode>0</c:formatCode>
                <c:ptCount val="3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  <c:pt idx="13">
                  <c:v>260</c:v>
                </c:pt>
                <c:pt idx="14">
                  <c:v>280</c:v>
                </c:pt>
                <c:pt idx="15">
                  <c:v>300</c:v>
                </c:pt>
                <c:pt idx="16">
                  <c:v>320</c:v>
                </c:pt>
                <c:pt idx="17">
                  <c:v>340</c:v>
                </c:pt>
                <c:pt idx="18">
                  <c:v>360</c:v>
                </c:pt>
                <c:pt idx="19">
                  <c:v>380</c:v>
                </c:pt>
                <c:pt idx="20">
                  <c:v>400</c:v>
                </c:pt>
                <c:pt idx="21">
                  <c:v>420</c:v>
                </c:pt>
                <c:pt idx="22">
                  <c:v>440</c:v>
                </c:pt>
                <c:pt idx="23">
                  <c:v>460</c:v>
                </c:pt>
                <c:pt idx="24">
                  <c:v>480</c:v>
                </c:pt>
                <c:pt idx="25">
                  <c:v>500</c:v>
                </c:pt>
                <c:pt idx="26">
                  <c:v>520</c:v>
                </c:pt>
                <c:pt idx="27">
                  <c:v>540</c:v>
                </c:pt>
                <c:pt idx="28">
                  <c:v>560</c:v>
                </c:pt>
                <c:pt idx="29">
                  <c:v>580</c:v>
                </c:pt>
                <c:pt idx="30">
                  <c:v>600</c:v>
                </c:pt>
              </c:numCache>
            </c:numRef>
          </c:xVal>
          <c:yVal>
            <c:numRef>
              <c:f>Centerline!$D$6:$D$36</c:f>
              <c:numCache>
                <c:formatCode>0.000E+00</c:formatCode>
                <c:ptCount val="31"/>
                <c:pt idx="0">
                  <c:v>15.8</c:v>
                </c:pt>
                <c:pt idx="1">
                  <c:v>12.613023509640826</c:v>
                </c:pt>
                <c:pt idx="2">
                  <c:v>10.06798921438218</c:v>
                </c:pt>
                <c:pt idx="3">
                  <c:v>8.0331851359359341</c:v>
                </c:pt>
                <c:pt idx="4">
                  <c:v>6.4008165043226484</c:v>
                </c:pt>
                <c:pt idx="5">
                  <c:v>5.0891557435209966</c:v>
                </c:pt>
                <c:pt idx="6">
                  <c:v>4.0369217828755009</c:v>
                </c:pt>
                <c:pt idx="7">
                  <c:v>3.1956173988099335</c:v>
                </c:pt>
                <c:pt idx="8">
                  <c:v>2.525375238974497</c:v>
                </c:pt>
                <c:pt idx="9">
                  <c:v>1.9931120792987396</c:v>
                </c:pt>
                <c:pt idx="10">
                  <c:v>1.5715140053128296</c:v>
                </c:pt>
                <c:pt idx="11">
                  <c:v>1.2382391409963469</c:v>
                </c:pt>
                <c:pt idx="12">
                  <c:v>0.97517907587485231</c:v>
                </c:pt>
                <c:pt idx="13">
                  <c:v>0.76776886075292072</c:v>
                </c:pt>
                <c:pt idx="14">
                  <c:v>0.6043640649891322</c:v>
                </c:pt>
                <c:pt idx="15">
                  <c:v>0.47569789150547154</c:v>
                </c:pt>
                <c:pt idx="16">
                  <c:v>0.37442111413592061</c:v>
                </c:pt>
                <c:pt idx="17">
                  <c:v>0.29472020017615652</c:v>
                </c:pt>
                <c:pt idx="18">
                  <c:v>0.23200507683234903</c:v>
                </c:pt>
                <c:pt idx="19">
                  <c:v>0.18265662239366284</c:v>
                </c:pt>
                <c:pt idx="20">
                  <c:v>0.14382408178471454</c:v>
                </c:pt>
                <c:pt idx="21">
                  <c:v>0.11326348271868213</c:v>
                </c:pt>
                <c:pt idx="22">
                  <c:v>8.9209306423275223E-2</c:v>
                </c:pt>
                <c:pt idx="23">
                  <c:v>7.0272890432658358E-2</c:v>
                </c:pt>
                <c:pt idx="24">
                  <c:v>5.5362181456994265E-2</c:v>
                </c:pt>
                <c:pt idx="25">
                  <c:v>4.3618459135205991E-2</c:v>
                </c:pt>
                <c:pt idx="26">
                  <c:v>3.4366502455658074E-2</c:v>
                </c:pt>
                <c:pt idx="27">
                  <c:v>2.7075376343808504E-2</c:v>
                </c:pt>
                <c:pt idx="28">
                  <c:v>2.1327592124509527E-2</c:v>
                </c:pt>
                <c:pt idx="29">
                  <c:v>1.6794860990091212E-2</c:v>
                </c:pt>
                <c:pt idx="30">
                  <c:v>1.3219032709203308E-2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74B-4320-98AD-F5F150CAD118}"/>
            </c:ext>
          </c:extLst>
        </c:ser>
        <c:ser>
          <c:idx val="2"/>
          <c:order val="2"/>
          <c:tx>
            <c:strRef>
              <c:f>Centerline!$E$5</c:f>
              <c:strCache>
                <c:ptCount val="1"/>
                <c:pt idx="0">
                  <c:v>DCE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xVal>
            <c:numRef>
              <c:f>Centerline!$B$6:$B$36</c:f>
              <c:numCache>
                <c:formatCode>0</c:formatCode>
                <c:ptCount val="3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  <c:pt idx="13">
                  <c:v>260</c:v>
                </c:pt>
                <c:pt idx="14">
                  <c:v>280</c:v>
                </c:pt>
                <c:pt idx="15">
                  <c:v>300</c:v>
                </c:pt>
                <c:pt idx="16">
                  <c:v>320</c:v>
                </c:pt>
                <c:pt idx="17">
                  <c:v>340</c:v>
                </c:pt>
                <c:pt idx="18">
                  <c:v>360</c:v>
                </c:pt>
                <c:pt idx="19">
                  <c:v>380</c:v>
                </c:pt>
                <c:pt idx="20">
                  <c:v>400</c:v>
                </c:pt>
                <c:pt idx="21">
                  <c:v>420</c:v>
                </c:pt>
                <c:pt idx="22">
                  <c:v>440</c:v>
                </c:pt>
                <c:pt idx="23">
                  <c:v>460</c:v>
                </c:pt>
                <c:pt idx="24">
                  <c:v>480</c:v>
                </c:pt>
                <c:pt idx="25">
                  <c:v>500</c:v>
                </c:pt>
                <c:pt idx="26">
                  <c:v>520</c:v>
                </c:pt>
                <c:pt idx="27">
                  <c:v>540</c:v>
                </c:pt>
                <c:pt idx="28">
                  <c:v>560</c:v>
                </c:pt>
                <c:pt idx="29">
                  <c:v>580</c:v>
                </c:pt>
                <c:pt idx="30">
                  <c:v>600</c:v>
                </c:pt>
              </c:numCache>
            </c:numRef>
          </c:xVal>
          <c:yVal>
            <c:numRef>
              <c:f>Centerline!$E$6:$E$36</c:f>
              <c:numCache>
                <c:formatCode>0.000E+00</c:formatCode>
                <c:ptCount val="31"/>
                <c:pt idx="0">
                  <c:v>98.5</c:v>
                </c:pt>
                <c:pt idx="1">
                  <c:v>88.567255207444447</c:v>
                </c:pt>
                <c:pt idx="2">
                  <c:v>79.430138902458708</c:v>
                </c:pt>
                <c:pt idx="3">
                  <c:v>71.051564493554778</c:v>
                </c:pt>
                <c:pt idx="4">
                  <c:v>63.348776834286618</c:v>
                </c:pt>
                <c:pt idx="5">
                  <c:v>56.265285242908327</c:v>
                </c:pt>
                <c:pt idx="6">
                  <c:v>49.785017524925244</c:v>
                </c:pt>
                <c:pt idx="7">
                  <c:v>43.902869501051335</c:v>
                </c:pt>
                <c:pt idx="8">
                  <c:v>38.605988493060799</c:v>
                </c:pt>
                <c:pt idx="9">
                  <c:v>33.86944167477143</c:v>
                </c:pt>
                <c:pt idx="10">
                  <c:v>29.658415394580842</c:v>
                </c:pt>
                <c:pt idx="11">
                  <c:v>25.932003815047413</c:v>
                </c:pt>
                <c:pt idx="12">
                  <c:v>22.6466265571073</c:v>
                </c:pt>
                <c:pt idx="13">
                  <c:v>19.758563349057624</c:v>
                </c:pt>
                <c:pt idx="14">
                  <c:v>17.225636954101141</c:v>
                </c:pt>
                <c:pt idx="15">
                  <c:v>15.008226886989432</c:v>
                </c:pt>
                <c:pt idx="16">
                  <c:v>13.069803778712926</c:v>
                </c:pt>
                <c:pt idx="17">
                  <c:v>11.377139360945838</c:v>
                </c:pt>
                <c:pt idx="18">
                  <c:v>9.9003070137533236</c:v>
                </c:pt>
                <c:pt idx="19">
                  <c:v>8.612554023978408</c:v>
                </c:pt>
                <c:pt idx="20">
                  <c:v>7.490101099829781</c:v>
                </c:pt>
                <c:pt idx="21">
                  <c:v>6.5119062440805981</c:v>
                </c:pt>
                <c:pt idx="22">
                  <c:v>5.6594171345852553</c:v>
                </c:pt>
                <c:pt idx="23">
                  <c:v>4.916327173474019</c:v>
                </c:pt>
                <c:pt idx="24">
                  <c:v>4.2683441610212043</c:v>
                </c:pt>
                <c:pt idx="25">
                  <c:v>3.7029762735893001</c:v>
                </c:pt>
                <c:pt idx="26">
                  <c:v>3.2093370923643416</c:v>
                </c:pt>
                <c:pt idx="27">
                  <c:v>2.7779694557864207</c:v>
                </c:pt>
                <c:pt idx="28">
                  <c:v>2.4006866483923357</c:v>
                </c:pt>
                <c:pt idx="29">
                  <c:v>2.0704287374271311</c:v>
                </c:pt>
                <c:pt idx="30">
                  <c:v>1.7811316224008669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74B-4320-98AD-F5F150CAD118}"/>
            </c:ext>
          </c:extLst>
        </c:ser>
        <c:ser>
          <c:idx val="3"/>
          <c:order val="3"/>
          <c:tx>
            <c:strRef>
              <c:f>Centerline!$F$5</c:f>
              <c:strCache>
                <c:ptCount val="1"/>
                <c:pt idx="0">
                  <c:v>VC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xVal>
            <c:numRef>
              <c:f>Centerline!$B$6:$B$36</c:f>
              <c:numCache>
                <c:formatCode>0</c:formatCode>
                <c:ptCount val="3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  <c:pt idx="13">
                  <c:v>260</c:v>
                </c:pt>
                <c:pt idx="14">
                  <c:v>280</c:v>
                </c:pt>
                <c:pt idx="15">
                  <c:v>300</c:v>
                </c:pt>
                <c:pt idx="16">
                  <c:v>320</c:v>
                </c:pt>
                <c:pt idx="17">
                  <c:v>340</c:v>
                </c:pt>
                <c:pt idx="18">
                  <c:v>360</c:v>
                </c:pt>
                <c:pt idx="19">
                  <c:v>380</c:v>
                </c:pt>
                <c:pt idx="20">
                  <c:v>400</c:v>
                </c:pt>
                <c:pt idx="21">
                  <c:v>420</c:v>
                </c:pt>
                <c:pt idx="22">
                  <c:v>440</c:v>
                </c:pt>
                <c:pt idx="23">
                  <c:v>460</c:v>
                </c:pt>
                <c:pt idx="24">
                  <c:v>480</c:v>
                </c:pt>
                <c:pt idx="25">
                  <c:v>500</c:v>
                </c:pt>
                <c:pt idx="26">
                  <c:v>520</c:v>
                </c:pt>
                <c:pt idx="27">
                  <c:v>540</c:v>
                </c:pt>
                <c:pt idx="28">
                  <c:v>560</c:v>
                </c:pt>
                <c:pt idx="29">
                  <c:v>580</c:v>
                </c:pt>
                <c:pt idx="30">
                  <c:v>600</c:v>
                </c:pt>
              </c:numCache>
            </c:numRef>
          </c:xVal>
          <c:yVal>
            <c:numRef>
              <c:f>Centerline!$F$6:$F$36</c:f>
              <c:numCache>
                <c:formatCode>0.000E+00</c:formatCode>
                <c:ptCount val="31"/>
                <c:pt idx="0">
                  <c:v>3.1</c:v>
                </c:pt>
                <c:pt idx="1">
                  <c:v>9.740633843841195</c:v>
                </c:pt>
                <c:pt idx="2">
                  <c:v>14.987425135430431</c:v>
                </c:pt>
                <c:pt idx="3">
                  <c:v>19.037617263175637</c:v>
                </c:pt>
                <c:pt idx="4">
                  <c:v>22.047264601905955</c:v>
                </c:pt>
                <c:pt idx="5">
                  <c:v>24.148783625584453</c:v>
                </c:pt>
                <c:pt idx="6">
                  <c:v>25.47208467875091</c:v>
                </c:pt>
                <c:pt idx="7">
                  <c:v>26.146164839661193</c:v>
                </c:pt>
                <c:pt idx="8">
                  <c:v>26.293031223652111</c:v>
                </c:pt>
                <c:pt idx="9">
                  <c:v>26.02264726727579</c:v>
                </c:pt>
                <c:pt idx="10">
                  <c:v>25.430587563389199</c:v>
                </c:pt>
                <c:pt idx="11">
                  <c:v>24.597759538768589</c:v>
                </c:pt>
                <c:pt idx="12">
                  <c:v>23.591308261720883</c:v>
                </c:pt>
                <c:pt idx="13">
                  <c:v>22.466068643683936</c:v>
                </c:pt>
                <c:pt idx="14">
                  <c:v>21.26618579723155</c:v>
                </c:pt>
                <c:pt idx="15">
                  <c:v>20.026700666088441</c:v>
                </c:pt>
                <c:pt idx="16">
                  <c:v>18.775004315770904</c:v>
                </c:pt>
                <c:pt idx="17">
                  <c:v>17.532124175656264</c:v>
                </c:pt>
                <c:pt idx="18">
                  <c:v>16.3138375909971</c:v>
                </c:pt>
                <c:pt idx="19">
                  <c:v>15.131624123040673</c:v>
                </c:pt>
                <c:pt idx="20">
                  <c:v>13.993475125297998</c:v>
                </c:pt>
                <c:pt idx="21">
                  <c:v>12.904581198492089</c:v>
                </c:pt>
                <c:pt idx="22">
                  <c:v>11.867917395383325</c:v>
                </c:pt>
                <c:pt idx="23">
                  <c:v>10.884743736410138</c:v>
                </c:pt>
                <c:pt idx="24">
                  <c:v>9.9550354184408878</c:v>
                </c:pt>
                <c:pt idx="25">
                  <c:v>9.077853516643005</c:v>
                </c:pt>
                <c:pt idx="26">
                  <c:v>8.2516633607699816</c:v>
                </c:pt>
                <c:pt idx="27">
                  <c:v>7.4746044502586733</c:v>
                </c:pt>
                <c:pt idx="28">
                  <c:v>6.7447130806524758</c:v>
                </c:pt>
                <c:pt idx="29">
                  <c:v>6.0600970729392323</c:v>
                </c:pt>
                <c:pt idx="30">
                  <c:v>5.4190613333585231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74B-4320-98AD-F5F150CAD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100"/>
      </c:scatterChart>
      <c:valAx>
        <c:axId val="10"/>
        <c:scaling>
          <c:orientation val="minMax"/>
          <c:max val="6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Distance Down-gradient (ft)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crossAx val="100"/>
        <c:crossesAt val="0"/>
        <c:crossBetween val="midCat"/>
      </c:valAx>
      <c:valAx>
        <c:axId val="100"/>
        <c:scaling>
          <c:logBase val="10"/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Centerline Concentration</a:t>
                </a:r>
                <a:r>
                  <a:rPr lang="en-US" baseline="0"/>
                  <a:t> (mg/L)</a:t>
                </a:r>
                <a:endParaRPr lang="en-US"/>
              </a:p>
            </c:rich>
          </c:tx>
          <c:overlay val="0"/>
        </c:title>
        <c:numFmt formatCode="0.0E+00" sourceLinked="0"/>
        <c:majorTickMark val="none"/>
        <c:minorTickMark val="none"/>
        <c:tickLblPos val="nextTo"/>
        <c:crossAx val="10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Receptor 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Breakthrough!$J$7</c:f>
              <c:strCache>
                <c:ptCount val="1"/>
                <c:pt idx="0">
                  <c:v>PCE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xVal>
            <c:numRef>
              <c:f>Breakthrough!$A$8:$A$48</c:f>
              <c:numCache>
                <c:formatCode>0.#</c:formatCode>
                <c:ptCount val="41"/>
                <c:pt idx="0">
                  <c:v>0</c:v>
                </c:pt>
                <c:pt idx="1">
                  <c:v>1.5</c:v>
                </c:pt>
                <c:pt idx="2">
                  <c:v>3</c:v>
                </c:pt>
                <c:pt idx="3">
                  <c:v>4.5</c:v>
                </c:pt>
                <c:pt idx="4">
                  <c:v>6</c:v>
                </c:pt>
                <c:pt idx="5">
                  <c:v>7.5</c:v>
                </c:pt>
                <c:pt idx="6">
                  <c:v>9</c:v>
                </c:pt>
                <c:pt idx="7">
                  <c:v>10.5</c:v>
                </c:pt>
                <c:pt idx="8">
                  <c:v>12</c:v>
                </c:pt>
                <c:pt idx="9">
                  <c:v>13.5</c:v>
                </c:pt>
                <c:pt idx="10">
                  <c:v>15</c:v>
                </c:pt>
                <c:pt idx="11">
                  <c:v>16.5</c:v>
                </c:pt>
                <c:pt idx="12">
                  <c:v>18</c:v>
                </c:pt>
                <c:pt idx="13">
                  <c:v>19.5</c:v>
                </c:pt>
                <c:pt idx="14">
                  <c:v>21</c:v>
                </c:pt>
                <c:pt idx="15">
                  <c:v>22.5</c:v>
                </c:pt>
                <c:pt idx="16">
                  <c:v>24</c:v>
                </c:pt>
                <c:pt idx="17">
                  <c:v>25.5</c:v>
                </c:pt>
                <c:pt idx="18">
                  <c:v>27</c:v>
                </c:pt>
                <c:pt idx="19">
                  <c:v>28.5</c:v>
                </c:pt>
                <c:pt idx="20">
                  <c:v>30</c:v>
                </c:pt>
                <c:pt idx="21">
                  <c:v>31.5</c:v>
                </c:pt>
                <c:pt idx="22">
                  <c:v>33</c:v>
                </c:pt>
                <c:pt idx="23">
                  <c:v>34.5</c:v>
                </c:pt>
                <c:pt idx="24">
                  <c:v>36</c:v>
                </c:pt>
                <c:pt idx="25">
                  <c:v>37.5</c:v>
                </c:pt>
                <c:pt idx="26">
                  <c:v>39</c:v>
                </c:pt>
                <c:pt idx="27">
                  <c:v>40.5</c:v>
                </c:pt>
                <c:pt idx="28">
                  <c:v>42</c:v>
                </c:pt>
                <c:pt idx="29">
                  <c:v>43.5</c:v>
                </c:pt>
                <c:pt idx="30">
                  <c:v>45</c:v>
                </c:pt>
                <c:pt idx="31">
                  <c:v>46.5</c:v>
                </c:pt>
                <c:pt idx="32">
                  <c:v>48</c:v>
                </c:pt>
                <c:pt idx="33">
                  <c:v>49.5</c:v>
                </c:pt>
                <c:pt idx="34">
                  <c:v>51</c:v>
                </c:pt>
                <c:pt idx="35">
                  <c:v>52.5</c:v>
                </c:pt>
                <c:pt idx="36">
                  <c:v>54</c:v>
                </c:pt>
                <c:pt idx="37">
                  <c:v>55.5</c:v>
                </c:pt>
                <c:pt idx="38">
                  <c:v>57</c:v>
                </c:pt>
                <c:pt idx="39">
                  <c:v>58.5</c:v>
                </c:pt>
                <c:pt idx="40">
                  <c:v>60</c:v>
                </c:pt>
              </c:numCache>
            </c:numRef>
          </c:xVal>
          <c:yVal>
            <c:numRef>
              <c:f>Breakthrough!$J$8:$J$48</c:f>
              <c:numCache>
                <c:formatCode>0.000E+00</c:formatCode>
                <c:ptCount val="41"/>
                <c:pt idx="0">
                  <c:v>0</c:v>
                </c:pt>
                <c:pt idx="1">
                  <c:v>8.1897061651868845E-9</c:v>
                </c:pt>
                <c:pt idx="2">
                  <c:v>7.0420628500392999E-5</c:v>
                </c:pt>
                <c:pt idx="3">
                  <c:v>9.2511336706248683E-4</c:v>
                </c:pt>
                <c:pt idx="4">
                  <c:v>2.5222080662997215E-3</c:v>
                </c:pt>
                <c:pt idx="5">
                  <c:v>3.8619836667244558E-3</c:v>
                </c:pt>
                <c:pt idx="6">
                  <c:v>4.6342616015071008E-3</c:v>
                </c:pt>
                <c:pt idx="7">
                  <c:v>5.0001390535102542E-3</c:v>
                </c:pt>
                <c:pt idx="8">
                  <c:v>5.1550705496745406E-3</c:v>
                </c:pt>
                <c:pt idx="9">
                  <c:v>5.2163134794117301E-3</c:v>
                </c:pt>
                <c:pt idx="10">
                  <c:v>5.2394704354046051E-3</c:v>
                </c:pt>
                <c:pt idx="11">
                  <c:v>5.2479691872474267E-3</c:v>
                </c:pt>
                <c:pt idx="12">
                  <c:v>5.2510245536734994E-3</c:v>
                </c:pt>
                <c:pt idx="13">
                  <c:v>5.2521070237990476E-3</c:v>
                </c:pt>
                <c:pt idx="14">
                  <c:v>5.2524864953187901E-3</c:v>
                </c:pt>
                <c:pt idx="15">
                  <c:v>5.2526184976037166E-3</c:v>
                </c:pt>
                <c:pt idx="16">
                  <c:v>5.2526641534948971E-3</c:v>
                </c:pt>
                <c:pt idx="17">
                  <c:v>5.252679877368556E-3</c:v>
                </c:pt>
                <c:pt idx="18">
                  <c:v>5.2526852754253952E-3</c:v>
                </c:pt>
                <c:pt idx="19">
                  <c:v>5.2526871241854612E-3</c:v>
                </c:pt>
                <c:pt idx="20">
                  <c:v>5.2526877562389974E-3</c:v>
                </c:pt>
                <c:pt idx="21">
                  <c:v>5.2526879720433284E-3</c:v>
                </c:pt>
                <c:pt idx="22">
                  <c:v>5.2526880456565629E-3</c:v>
                </c:pt>
                <c:pt idx="23">
                  <c:v>5.2526880707501498E-3</c:v>
                </c:pt>
                <c:pt idx="24">
                  <c:v>5.2526880793003442E-3</c:v>
                </c:pt>
                <c:pt idx="25">
                  <c:v>5.2526880822128712E-3</c:v>
                </c:pt>
                <c:pt idx="26">
                  <c:v>5.2526880832048537E-3</c:v>
                </c:pt>
                <c:pt idx="27">
                  <c:v>5.2526880835427059E-3</c:v>
                </c:pt>
                <c:pt idx="28">
                  <c:v>5.252688083657777E-3</c:v>
                </c:pt>
                <c:pt idx="29">
                  <c:v>5.2526880836969757E-3</c:v>
                </c:pt>
                <c:pt idx="30">
                  <c:v>5.2526880837103305E-3</c:v>
                </c:pt>
                <c:pt idx="31">
                  <c:v>5.2526880837148815E-3</c:v>
                </c:pt>
                <c:pt idx="32">
                  <c:v>5.2526880837164332E-3</c:v>
                </c:pt>
                <c:pt idx="33">
                  <c:v>5.2526880837169615E-3</c:v>
                </c:pt>
                <c:pt idx="34">
                  <c:v>5.2526880837171419E-3</c:v>
                </c:pt>
                <c:pt idx="35">
                  <c:v>5.2526880837172043E-3</c:v>
                </c:pt>
                <c:pt idx="36">
                  <c:v>5.2526880837172243E-3</c:v>
                </c:pt>
                <c:pt idx="37">
                  <c:v>5.2526880837172321E-3</c:v>
                </c:pt>
                <c:pt idx="38">
                  <c:v>5.2526880837172347E-3</c:v>
                </c:pt>
                <c:pt idx="39">
                  <c:v>5.2526880837172347E-3</c:v>
                </c:pt>
                <c:pt idx="40">
                  <c:v>5.2526880837172355E-3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C4-4E10-A869-07617B6FADB4}"/>
            </c:ext>
          </c:extLst>
        </c:ser>
        <c:ser>
          <c:idx val="1"/>
          <c:order val="1"/>
          <c:tx>
            <c:strRef>
              <c:f>Breakthrough!$K$7</c:f>
              <c:strCache>
                <c:ptCount val="1"/>
                <c:pt idx="0">
                  <c:v>TCE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xVal>
            <c:numRef>
              <c:f>Breakthrough!$A$8:$A$48</c:f>
              <c:numCache>
                <c:formatCode>0.#</c:formatCode>
                <c:ptCount val="41"/>
                <c:pt idx="0">
                  <c:v>0</c:v>
                </c:pt>
                <c:pt idx="1">
                  <c:v>1.5</c:v>
                </c:pt>
                <c:pt idx="2">
                  <c:v>3</c:v>
                </c:pt>
                <c:pt idx="3">
                  <c:v>4.5</c:v>
                </c:pt>
                <c:pt idx="4">
                  <c:v>6</c:v>
                </c:pt>
                <c:pt idx="5">
                  <c:v>7.5</c:v>
                </c:pt>
                <c:pt idx="6">
                  <c:v>9</c:v>
                </c:pt>
                <c:pt idx="7">
                  <c:v>10.5</c:v>
                </c:pt>
                <c:pt idx="8">
                  <c:v>12</c:v>
                </c:pt>
                <c:pt idx="9">
                  <c:v>13.5</c:v>
                </c:pt>
                <c:pt idx="10">
                  <c:v>15</c:v>
                </c:pt>
                <c:pt idx="11">
                  <c:v>16.5</c:v>
                </c:pt>
                <c:pt idx="12">
                  <c:v>18</c:v>
                </c:pt>
                <c:pt idx="13">
                  <c:v>19.5</c:v>
                </c:pt>
                <c:pt idx="14">
                  <c:v>21</c:v>
                </c:pt>
                <c:pt idx="15">
                  <c:v>22.5</c:v>
                </c:pt>
                <c:pt idx="16">
                  <c:v>24</c:v>
                </c:pt>
                <c:pt idx="17">
                  <c:v>25.5</c:v>
                </c:pt>
                <c:pt idx="18">
                  <c:v>27</c:v>
                </c:pt>
                <c:pt idx="19">
                  <c:v>28.5</c:v>
                </c:pt>
                <c:pt idx="20">
                  <c:v>30</c:v>
                </c:pt>
                <c:pt idx="21">
                  <c:v>31.5</c:v>
                </c:pt>
                <c:pt idx="22">
                  <c:v>33</c:v>
                </c:pt>
                <c:pt idx="23">
                  <c:v>34.5</c:v>
                </c:pt>
                <c:pt idx="24">
                  <c:v>36</c:v>
                </c:pt>
                <c:pt idx="25">
                  <c:v>37.5</c:v>
                </c:pt>
                <c:pt idx="26">
                  <c:v>39</c:v>
                </c:pt>
                <c:pt idx="27">
                  <c:v>40.5</c:v>
                </c:pt>
                <c:pt idx="28">
                  <c:v>42</c:v>
                </c:pt>
                <c:pt idx="29">
                  <c:v>43.5</c:v>
                </c:pt>
                <c:pt idx="30">
                  <c:v>45</c:v>
                </c:pt>
                <c:pt idx="31">
                  <c:v>46.5</c:v>
                </c:pt>
                <c:pt idx="32">
                  <c:v>48</c:v>
                </c:pt>
                <c:pt idx="33">
                  <c:v>49.5</c:v>
                </c:pt>
                <c:pt idx="34">
                  <c:v>51</c:v>
                </c:pt>
                <c:pt idx="35">
                  <c:v>52.5</c:v>
                </c:pt>
                <c:pt idx="36">
                  <c:v>54</c:v>
                </c:pt>
                <c:pt idx="37">
                  <c:v>55.5</c:v>
                </c:pt>
                <c:pt idx="38">
                  <c:v>57</c:v>
                </c:pt>
                <c:pt idx="39">
                  <c:v>58.5</c:v>
                </c:pt>
                <c:pt idx="40">
                  <c:v>60</c:v>
                </c:pt>
              </c:numCache>
            </c:numRef>
          </c:xVal>
          <c:yVal>
            <c:numRef>
              <c:f>Breakthrough!$K$8:$K$48</c:f>
              <c:numCache>
                <c:formatCode>0.000E+00</c:formatCode>
                <c:ptCount val="41"/>
                <c:pt idx="0">
                  <c:v>0</c:v>
                </c:pt>
                <c:pt idx="1">
                  <c:v>1.4843400676028373E-6</c:v>
                </c:pt>
                <c:pt idx="2">
                  <c:v>1.4439343544258076E-2</c:v>
                </c:pt>
                <c:pt idx="3">
                  <c:v>0.21124543758149411</c:v>
                </c:pt>
                <c:pt idx="4">
                  <c:v>0.62948699482234416</c:v>
                </c:pt>
                <c:pt idx="5">
                  <c:v>1.0317836666049303</c:v>
                </c:pt>
                <c:pt idx="6">
                  <c:v>1.2984892824558245</c:v>
                </c:pt>
                <c:pt idx="7">
                  <c:v>1.443989553832294</c:v>
                </c:pt>
                <c:pt idx="8">
                  <c:v>1.5149736622967842</c:v>
                </c:pt>
                <c:pt idx="9">
                  <c:v>1.5473082277187702</c:v>
                </c:pt>
                <c:pt idx="10">
                  <c:v>1.5613985264465193</c:v>
                </c:pt>
                <c:pt idx="11">
                  <c:v>1.5673583217265048</c:v>
                </c:pt>
                <c:pt idx="12">
                  <c:v>1.5698276162525504</c:v>
                </c:pt>
                <c:pt idx="13">
                  <c:v>1.5708358197333865</c:v>
                </c:pt>
                <c:pt idx="14">
                  <c:v>1.5712431254910801</c:v>
                </c:pt>
                <c:pt idx="15">
                  <c:v>1.5714063996476384</c:v>
                </c:pt>
                <c:pt idx="16">
                  <c:v>1.5714714745049387</c:v>
                </c:pt>
                <c:pt idx="17">
                  <c:v>1.571497299656478</c:v>
                </c:pt>
                <c:pt idx="18">
                  <c:v>1.5715075155248059</c:v>
                </c:pt>
                <c:pt idx="19">
                  <c:v>1.5715115469776668</c:v>
                </c:pt>
                <c:pt idx="20">
                  <c:v>1.5715131350414453</c:v>
                </c:pt>
                <c:pt idx="21">
                  <c:v>1.571513759779839</c:v>
                </c:pt>
                <c:pt idx="22">
                  <c:v>1.5715140053128296</c:v>
                </c:pt>
                <c:pt idx="23">
                  <c:v>1.5715141017457901</c:v>
                </c:pt>
                <c:pt idx="24">
                  <c:v>1.5715141396023486</c:v>
                </c:pt>
                <c:pt idx="25">
                  <c:v>1.5715141544593885</c:v>
                </c:pt>
                <c:pt idx="26">
                  <c:v>1.5715141602892557</c:v>
                </c:pt>
                <c:pt idx="27">
                  <c:v>1.5715141625767888</c:v>
                </c:pt>
                <c:pt idx="28">
                  <c:v>1.5715141634744163</c:v>
                </c:pt>
                <c:pt idx="29">
                  <c:v>1.5715141638266854</c:v>
                </c:pt>
                <c:pt idx="30">
                  <c:v>1.571514163964955</c:v>
                </c:pt>
                <c:pt idx="31">
                  <c:v>1.5715141640192383</c:v>
                </c:pt>
                <c:pt idx="32">
                  <c:v>1.5715141640405548</c:v>
                </c:pt>
                <c:pt idx="33">
                  <c:v>1.5715141640489281</c:v>
                </c:pt>
                <c:pt idx="34">
                  <c:v>1.5715141640522177</c:v>
                </c:pt>
                <c:pt idx="35">
                  <c:v>1.5715141640535111</c:v>
                </c:pt>
                <c:pt idx="36">
                  <c:v>1.5715141640540191</c:v>
                </c:pt>
                <c:pt idx="37">
                  <c:v>1.5715141640542192</c:v>
                </c:pt>
                <c:pt idx="38">
                  <c:v>1.5715141640542978</c:v>
                </c:pt>
                <c:pt idx="39">
                  <c:v>1.5715141640543289</c:v>
                </c:pt>
                <c:pt idx="40">
                  <c:v>1.5715141640543411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C4-4E10-A869-07617B6FADB4}"/>
            </c:ext>
          </c:extLst>
        </c:ser>
        <c:ser>
          <c:idx val="2"/>
          <c:order val="2"/>
          <c:tx>
            <c:strRef>
              <c:f>Breakthrough!$L$7</c:f>
              <c:strCache>
                <c:ptCount val="1"/>
                <c:pt idx="0">
                  <c:v>DCE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xVal>
            <c:numRef>
              <c:f>Breakthrough!$A$8:$A$48</c:f>
              <c:numCache>
                <c:formatCode>0.#</c:formatCode>
                <c:ptCount val="41"/>
                <c:pt idx="0">
                  <c:v>0</c:v>
                </c:pt>
                <c:pt idx="1">
                  <c:v>1.5</c:v>
                </c:pt>
                <c:pt idx="2">
                  <c:v>3</c:v>
                </c:pt>
                <c:pt idx="3">
                  <c:v>4.5</c:v>
                </c:pt>
                <c:pt idx="4">
                  <c:v>6</c:v>
                </c:pt>
                <c:pt idx="5">
                  <c:v>7.5</c:v>
                </c:pt>
                <c:pt idx="6">
                  <c:v>9</c:v>
                </c:pt>
                <c:pt idx="7">
                  <c:v>10.5</c:v>
                </c:pt>
                <c:pt idx="8">
                  <c:v>12</c:v>
                </c:pt>
                <c:pt idx="9">
                  <c:v>13.5</c:v>
                </c:pt>
                <c:pt idx="10">
                  <c:v>15</c:v>
                </c:pt>
                <c:pt idx="11">
                  <c:v>16.5</c:v>
                </c:pt>
                <c:pt idx="12">
                  <c:v>18</c:v>
                </c:pt>
                <c:pt idx="13">
                  <c:v>19.5</c:v>
                </c:pt>
                <c:pt idx="14">
                  <c:v>21</c:v>
                </c:pt>
                <c:pt idx="15">
                  <c:v>22.5</c:v>
                </c:pt>
                <c:pt idx="16">
                  <c:v>24</c:v>
                </c:pt>
                <c:pt idx="17">
                  <c:v>25.5</c:v>
                </c:pt>
                <c:pt idx="18">
                  <c:v>27</c:v>
                </c:pt>
                <c:pt idx="19">
                  <c:v>28.5</c:v>
                </c:pt>
                <c:pt idx="20">
                  <c:v>30</c:v>
                </c:pt>
                <c:pt idx="21">
                  <c:v>31.5</c:v>
                </c:pt>
                <c:pt idx="22">
                  <c:v>33</c:v>
                </c:pt>
                <c:pt idx="23">
                  <c:v>34.5</c:v>
                </c:pt>
                <c:pt idx="24">
                  <c:v>36</c:v>
                </c:pt>
                <c:pt idx="25">
                  <c:v>37.5</c:v>
                </c:pt>
                <c:pt idx="26">
                  <c:v>39</c:v>
                </c:pt>
                <c:pt idx="27">
                  <c:v>40.5</c:v>
                </c:pt>
                <c:pt idx="28">
                  <c:v>42</c:v>
                </c:pt>
                <c:pt idx="29">
                  <c:v>43.5</c:v>
                </c:pt>
                <c:pt idx="30">
                  <c:v>45</c:v>
                </c:pt>
                <c:pt idx="31">
                  <c:v>46.5</c:v>
                </c:pt>
                <c:pt idx="32">
                  <c:v>48</c:v>
                </c:pt>
                <c:pt idx="33">
                  <c:v>49.5</c:v>
                </c:pt>
                <c:pt idx="34">
                  <c:v>51</c:v>
                </c:pt>
                <c:pt idx="35">
                  <c:v>52.5</c:v>
                </c:pt>
                <c:pt idx="36">
                  <c:v>54</c:v>
                </c:pt>
                <c:pt idx="37">
                  <c:v>55.5</c:v>
                </c:pt>
                <c:pt idx="38">
                  <c:v>57</c:v>
                </c:pt>
                <c:pt idx="39">
                  <c:v>58.5</c:v>
                </c:pt>
                <c:pt idx="40">
                  <c:v>60</c:v>
                </c:pt>
              </c:numCache>
            </c:numRef>
          </c:xVal>
          <c:yVal>
            <c:numRef>
              <c:f>Breakthrough!$L$8:$L$48</c:f>
              <c:numCache>
                <c:formatCode>0.000E+00</c:formatCode>
                <c:ptCount val="41"/>
                <c:pt idx="0">
                  <c:v>0</c:v>
                </c:pt>
                <c:pt idx="1">
                  <c:v>1.1633253863637589E-5</c:v>
                </c:pt>
                <c:pt idx="2">
                  <c:v>0.13820366728976508</c:v>
                </c:pt>
                <c:pt idx="3">
                  <c:v>2.4029440710200443</c:v>
                </c:pt>
                <c:pt idx="4">
                  <c:v>8.274007397997801</c:v>
                </c:pt>
                <c:pt idx="5">
                  <c:v>15.221063839414333</c:v>
                </c:pt>
                <c:pt idx="6">
                  <c:v>20.894550248177904</c:v>
                </c:pt>
                <c:pt idx="7">
                  <c:v>24.704362307015561</c:v>
                </c:pt>
                <c:pt idx="8">
                  <c:v>26.989185610631939</c:v>
                </c:pt>
                <c:pt idx="9">
                  <c:v>28.266894439238349</c:v>
                </c:pt>
                <c:pt idx="10">
                  <c:v>28.949608200385594</c:v>
                </c:pt>
                <c:pt idx="11">
                  <c:v>29.303326597073067</c:v>
                </c:pt>
                <c:pt idx="12">
                  <c:v>29.482689709831284</c:v>
                </c:pt>
                <c:pt idx="13">
                  <c:v>29.572253466653997</c:v>
                </c:pt>
                <c:pt idx="14">
                  <c:v>29.616479002977727</c:v>
                </c:pt>
                <c:pt idx="15">
                  <c:v>29.638137528770635</c:v>
                </c:pt>
                <c:pt idx="16">
                  <c:v>29.648679263010649</c:v>
                </c:pt>
                <c:pt idx="17">
                  <c:v>29.653786535596737</c:v>
                </c:pt>
                <c:pt idx="18">
                  <c:v>29.656252316632791</c:v>
                </c:pt>
                <c:pt idx="19">
                  <c:v>29.657439672149188</c:v>
                </c:pt>
                <c:pt idx="20">
                  <c:v>29.658010297832611</c:v>
                </c:pt>
                <c:pt idx="21">
                  <c:v>29.658284129787727</c:v>
                </c:pt>
                <c:pt idx="22">
                  <c:v>29.658415394580842</c:v>
                </c:pt>
                <c:pt idx="23">
                  <c:v>29.658478269250455</c:v>
                </c:pt>
                <c:pt idx="24">
                  <c:v>29.658508369505419</c:v>
                </c:pt>
                <c:pt idx="25">
                  <c:v>29.658522774510885</c:v>
                </c:pt>
                <c:pt idx="26">
                  <c:v>29.658529666906983</c:v>
                </c:pt>
                <c:pt idx="27">
                  <c:v>29.658532964461276</c:v>
                </c:pt>
                <c:pt idx="28">
                  <c:v>29.658534542143105</c:v>
                </c:pt>
                <c:pt idx="29">
                  <c:v>29.658535297035503</c:v>
                </c:pt>
                <c:pt idx="30">
                  <c:v>29.658535658291065</c:v>
                </c:pt>
                <c:pt idx="31">
                  <c:v>29.658535831204315</c:v>
                </c:pt>
                <c:pt idx="32">
                  <c:v>29.6585359139875</c:v>
                </c:pt>
                <c:pt idx="33">
                  <c:v>29.65853595363069</c:v>
                </c:pt>
                <c:pt idx="34">
                  <c:v>29.658535972620367</c:v>
                </c:pt>
                <c:pt idx="35">
                  <c:v>29.658535981719425</c:v>
                </c:pt>
                <c:pt idx="36">
                  <c:v>29.658535986080661</c:v>
                </c:pt>
                <c:pt idx="37">
                  <c:v>29.6585359881717</c:v>
                </c:pt>
                <c:pt idx="38">
                  <c:v>29.658535989174599</c:v>
                </c:pt>
                <c:pt idx="39">
                  <c:v>29.658535989655764</c:v>
                </c:pt>
                <c:pt idx="40">
                  <c:v>29.65853598988669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C4-4E10-A869-07617B6FADB4}"/>
            </c:ext>
          </c:extLst>
        </c:ser>
        <c:ser>
          <c:idx val="3"/>
          <c:order val="3"/>
          <c:tx>
            <c:strRef>
              <c:f>Breakthrough!$M$7</c:f>
              <c:strCache>
                <c:ptCount val="1"/>
                <c:pt idx="0">
                  <c:v>VC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xVal>
            <c:numRef>
              <c:f>Breakthrough!$A$8:$A$48</c:f>
              <c:numCache>
                <c:formatCode>0.#</c:formatCode>
                <c:ptCount val="41"/>
                <c:pt idx="0">
                  <c:v>0</c:v>
                </c:pt>
                <c:pt idx="1">
                  <c:v>1.5</c:v>
                </c:pt>
                <c:pt idx="2">
                  <c:v>3</c:v>
                </c:pt>
                <c:pt idx="3">
                  <c:v>4.5</c:v>
                </c:pt>
                <c:pt idx="4">
                  <c:v>6</c:v>
                </c:pt>
                <c:pt idx="5">
                  <c:v>7.5</c:v>
                </c:pt>
                <c:pt idx="6">
                  <c:v>9</c:v>
                </c:pt>
                <c:pt idx="7">
                  <c:v>10.5</c:v>
                </c:pt>
                <c:pt idx="8">
                  <c:v>12</c:v>
                </c:pt>
                <c:pt idx="9">
                  <c:v>13.5</c:v>
                </c:pt>
                <c:pt idx="10">
                  <c:v>15</c:v>
                </c:pt>
                <c:pt idx="11">
                  <c:v>16.5</c:v>
                </c:pt>
                <c:pt idx="12">
                  <c:v>18</c:v>
                </c:pt>
                <c:pt idx="13">
                  <c:v>19.5</c:v>
                </c:pt>
                <c:pt idx="14">
                  <c:v>21</c:v>
                </c:pt>
                <c:pt idx="15">
                  <c:v>22.5</c:v>
                </c:pt>
                <c:pt idx="16">
                  <c:v>24</c:v>
                </c:pt>
                <c:pt idx="17">
                  <c:v>25.5</c:v>
                </c:pt>
                <c:pt idx="18">
                  <c:v>27</c:v>
                </c:pt>
                <c:pt idx="19">
                  <c:v>28.5</c:v>
                </c:pt>
                <c:pt idx="20">
                  <c:v>30</c:v>
                </c:pt>
                <c:pt idx="21">
                  <c:v>31.5</c:v>
                </c:pt>
                <c:pt idx="22">
                  <c:v>33</c:v>
                </c:pt>
                <c:pt idx="23">
                  <c:v>34.5</c:v>
                </c:pt>
                <c:pt idx="24">
                  <c:v>36</c:v>
                </c:pt>
                <c:pt idx="25">
                  <c:v>37.5</c:v>
                </c:pt>
                <c:pt idx="26">
                  <c:v>39</c:v>
                </c:pt>
                <c:pt idx="27">
                  <c:v>40.5</c:v>
                </c:pt>
                <c:pt idx="28">
                  <c:v>42</c:v>
                </c:pt>
                <c:pt idx="29">
                  <c:v>43.5</c:v>
                </c:pt>
                <c:pt idx="30">
                  <c:v>45</c:v>
                </c:pt>
                <c:pt idx="31">
                  <c:v>46.5</c:v>
                </c:pt>
                <c:pt idx="32">
                  <c:v>48</c:v>
                </c:pt>
                <c:pt idx="33">
                  <c:v>49.5</c:v>
                </c:pt>
                <c:pt idx="34">
                  <c:v>51</c:v>
                </c:pt>
                <c:pt idx="35">
                  <c:v>52.5</c:v>
                </c:pt>
                <c:pt idx="36">
                  <c:v>54</c:v>
                </c:pt>
                <c:pt idx="37">
                  <c:v>55.5</c:v>
                </c:pt>
                <c:pt idx="38">
                  <c:v>57</c:v>
                </c:pt>
                <c:pt idx="39">
                  <c:v>58.5</c:v>
                </c:pt>
                <c:pt idx="40">
                  <c:v>60</c:v>
                </c:pt>
              </c:numCache>
            </c:numRef>
          </c:xVal>
          <c:yVal>
            <c:numRef>
              <c:f>Breakthrough!$M$8:$M$48</c:f>
              <c:numCache>
                <c:formatCode>0.000E+00</c:formatCode>
                <c:ptCount val="41"/>
                <c:pt idx="0">
                  <c:v>0</c:v>
                </c:pt>
                <c:pt idx="1">
                  <c:v>1.9831278244717531E-6</c:v>
                </c:pt>
                <c:pt idx="2">
                  <c:v>4.1199095762667504E-2</c:v>
                </c:pt>
                <c:pt idx="3">
                  <c:v>0.99660840914494087</c:v>
                </c:pt>
                <c:pt idx="4">
                  <c:v>4.2926786784196693</c:v>
                </c:pt>
                <c:pt idx="5">
                  <c:v>9.2580167291521214</c:v>
                </c:pt>
                <c:pt idx="6">
                  <c:v>14.239490559189679</c:v>
                </c:pt>
                <c:pt idx="7">
                  <c:v>18.24045487625105</c:v>
                </c:pt>
                <c:pt idx="8">
                  <c:v>21.053221644009813</c:v>
                </c:pt>
                <c:pt idx="9">
                  <c:v>22.868728602084186</c:v>
                </c:pt>
                <c:pt idx="10">
                  <c:v>23.974738251535339</c:v>
                </c:pt>
                <c:pt idx="11">
                  <c:v>24.621603670769201</c:v>
                </c:pt>
                <c:pt idx="12">
                  <c:v>24.988849890827538</c:v>
                </c:pt>
                <c:pt idx="13">
                  <c:v>25.192754163538112</c:v>
                </c:pt>
                <c:pt idx="14">
                  <c:v>25.304050789301499</c:v>
                </c:pt>
                <c:pt idx="15">
                  <c:v>25.363995264612782</c:v>
                </c:pt>
                <c:pt idx="16">
                  <c:v>25.395941813339256</c:v>
                </c:pt>
                <c:pt idx="17">
                  <c:v>25.412823092348777</c:v>
                </c:pt>
                <c:pt idx="18">
                  <c:v>25.421682023334728</c:v>
                </c:pt>
                <c:pt idx="19">
                  <c:v>25.426304627079048</c:v>
                </c:pt>
                <c:pt idx="20">
                  <c:v>25.428705355098053</c:v>
                </c:pt>
                <c:pt idx="21">
                  <c:v>25.429947255102711</c:v>
                </c:pt>
                <c:pt idx="22">
                  <c:v>25.430587563389199</c:v>
                </c:pt>
                <c:pt idx="23">
                  <c:v>25.430916772347373</c:v>
                </c:pt>
                <c:pt idx="24">
                  <c:v>25.431085628179165</c:v>
                </c:pt>
                <c:pt idx="25">
                  <c:v>25.431172059893449</c:v>
                </c:pt>
                <c:pt idx="26">
                  <c:v>25.431216223923698</c:v>
                </c:pt>
                <c:pt idx="27">
                  <c:v>25.431238756382527</c:v>
                </c:pt>
                <c:pt idx="28">
                  <c:v>25.431250237450183</c:v>
                </c:pt>
                <c:pt idx="29">
                  <c:v>25.43125608085391</c:v>
                </c:pt>
                <c:pt idx="30">
                  <c:v>25.431259052003487</c:v>
                </c:pt>
                <c:pt idx="31">
                  <c:v>25.431260561437206</c:v>
                </c:pt>
                <c:pt idx="32">
                  <c:v>25.431261327708935</c:v>
                </c:pt>
                <c:pt idx="33">
                  <c:v>25.431261716460902</c:v>
                </c:pt>
                <c:pt idx="34">
                  <c:v>25.431261913575902</c:v>
                </c:pt>
                <c:pt idx="35">
                  <c:v>25.431262013473635</c:v>
                </c:pt>
                <c:pt idx="36">
                  <c:v>25.431262064080464</c:v>
                </c:pt>
                <c:pt idx="37">
                  <c:v>25.431262089707822</c:v>
                </c:pt>
                <c:pt idx="38">
                  <c:v>25.431262102681465</c:v>
                </c:pt>
                <c:pt idx="39">
                  <c:v>25.431262109247445</c:v>
                </c:pt>
                <c:pt idx="40">
                  <c:v>25.431262112569737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0C4-4E10-A869-07617B6FA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100"/>
      </c:scatterChart>
      <c:val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100"/>
        <c:crossesAt val="0"/>
        <c:crossBetween val="midCat"/>
      </c:valAx>
      <c:valAx>
        <c:axId val="100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mg/L</a:t>
                </a:r>
              </a:p>
            </c:rich>
          </c:tx>
          <c:overlay val="0"/>
        </c:title>
        <c:numFmt formatCode="0.0E+00" sourceLinked="0"/>
        <c:majorTickMark val="none"/>
        <c:minorTickMark val="none"/>
        <c:tickLblPos val="nextTo"/>
        <c:crossAx val="10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Receptor 3</a:t>
            </a:r>
          </a:p>
        </c:rich>
      </c:tx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Breakthrough!$J$7</c:f>
              <c:strCache>
                <c:ptCount val="1"/>
                <c:pt idx="0">
                  <c:v>PCE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xVal>
            <c:numRef>
              <c:f>Breakthrough!$A$8:$A$48</c:f>
              <c:numCache>
                <c:formatCode>0.#</c:formatCode>
                <c:ptCount val="41"/>
                <c:pt idx="0">
                  <c:v>0</c:v>
                </c:pt>
                <c:pt idx="1">
                  <c:v>1.5</c:v>
                </c:pt>
                <c:pt idx="2">
                  <c:v>3</c:v>
                </c:pt>
                <c:pt idx="3">
                  <c:v>4.5</c:v>
                </c:pt>
                <c:pt idx="4">
                  <c:v>6</c:v>
                </c:pt>
                <c:pt idx="5">
                  <c:v>7.5</c:v>
                </c:pt>
                <c:pt idx="6">
                  <c:v>9</c:v>
                </c:pt>
                <c:pt idx="7">
                  <c:v>10.5</c:v>
                </c:pt>
                <c:pt idx="8">
                  <c:v>12</c:v>
                </c:pt>
                <c:pt idx="9">
                  <c:v>13.5</c:v>
                </c:pt>
                <c:pt idx="10">
                  <c:v>15</c:v>
                </c:pt>
                <c:pt idx="11">
                  <c:v>16.5</c:v>
                </c:pt>
                <c:pt idx="12">
                  <c:v>18</c:v>
                </c:pt>
                <c:pt idx="13">
                  <c:v>19.5</c:v>
                </c:pt>
                <c:pt idx="14">
                  <c:v>21</c:v>
                </c:pt>
                <c:pt idx="15">
                  <c:v>22.5</c:v>
                </c:pt>
                <c:pt idx="16">
                  <c:v>24</c:v>
                </c:pt>
                <c:pt idx="17">
                  <c:v>25.5</c:v>
                </c:pt>
                <c:pt idx="18">
                  <c:v>27</c:v>
                </c:pt>
                <c:pt idx="19">
                  <c:v>28.5</c:v>
                </c:pt>
                <c:pt idx="20">
                  <c:v>30</c:v>
                </c:pt>
                <c:pt idx="21">
                  <c:v>31.5</c:v>
                </c:pt>
                <c:pt idx="22">
                  <c:v>33</c:v>
                </c:pt>
                <c:pt idx="23">
                  <c:v>34.5</c:v>
                </c:pt>
                <c:pt idx="24">
                  <c:v>36</c:v>
                </c:pt>
                <c:pt idx="25">
                  <c:v>37.5</c:v>
                </c:pt>
                <c:pt idx="26">
                  <c:v>39</c:v>
                </c:pt>
                <c:pt idx="27">
                  <c:v>40.5</c:v>
                </c:pt>
                <c:pt idx="28">
                  <c:v>42</c:v>
                </c:pt>
                <c:pt idx="29">
                  <c:v>43.5</c:v>
                </c:pt>
                <c:pt idx="30">
                  <c:v>45</c:v>
                </c:pt>
                <c:pt idx="31">
                  <c:v>46.5</c:v>
                </c:pt>
                <c:pt idx="32">
                  <c:v>48</c:v>
                </c:pt>
                <c:pt idx="33">
                  <c:v>49.5</c:v>
                </c:pt>
                <c:pt idx="34">
                  <c:v>51</c:v>
                </c:pt>
                <c:pt idx="35">
                  <c:v>52.5</c:v>
                </c:pt>
                <c:pt idx="36">
                  <c:v>54</c:v>
                </c:pt>
                <c:pt idx="37">
                  <c:v>55.5</c:v>
                </c:pt>
                <c:pt idx="38">
                  <c:v>57</c:v>
                </c:pt>
                <c:pt idx="39">
                  <c:v>58.5</c:v>
                </c:pt>
                <c:pt idx="40">
                  <c:v>60</c:v>
                </c:pt>
              </c:numCache>
            </c:numRef>
          </c:xVal>
          <c:yVal>
            <c:numRef>
              <c:f>Breakthrough!$AH$8:$AH$48</c:f>
              <c:numCache>
                <c:formatCode>0.000E+00</c:formatCode>
                <c:ptCount val="41"/>
                <c:pt idx="0">
                  <c:v>0</c:v>
                </c:pt>
                <c:pt idx="1">
                  <c:v>2.6153949191308677E-49</c:v>
                </c:pt>
                <c:pt idx="2">
                  <c:v>1.9922285195042879E-23</c:v>
                </c:pt>
                <c:pt idx="3">
                  <c:v>4.7280622541285423E-15</c:v>
                </c:pt>
                <c:pt idx="4">
                  <c:v>4.6710156168087223E-11</c:v>
                </c:pt>
                <c:pt idx="5">
                  <c:v>8.1938115013388017E-9</c:v>
                </c:pt>
                <c:pt idx="6">
                  <c:v>1.930327519567824E-7</c:v>
                </c:pt>
                <c:pt idx="7">
                  <c:v>1.4584545350533002E-6</c:v>
                </c:pt>
                <c:pt idx="8">
                  <c:v>5.4775155894061906E-6</c:v>
                </c:pt>
                <c:pt idx="9">
                  <c:v>1.3081822724209867E-5</c:v>
                </c:pt>
                <c:pt idx="10">
                  <c:v>2.3093383843027818E-5</c:v>
                </c:pt>
                <c:pt idx="11">
                  <c:v>3.3236053309368047E-5</c:v>
                </c:pt>
                <c:pt idx="12">
                  <c:v>4.1694883559644439E-5</c:v>
                </c:pt>
                <c:pt idx="13">
                  <c:v>4.7779416079266721E-5</c:v>
                </c:pt>
                <c:pt idx="14">
                  <c:v>5.1681406097736068E-5</c:v>
                </c:pt>
                <c:pt idx="15">
                  <c:v>5.3966752494404046E-5</c:v>
                </c:pt>
                <c:pt idx="16">
                  <c:v>5.5211276756288775E-5</c:v>
                </c:pt>
                <c:pt idx="17">
                  <c:v>5.5850028821819276E-5</c:v>
                </c:pt>
                <c:pt idx="18">
                  <c:v>5.6162261105900216E-5</c:v>
                </c:pt>
                <c:pt idx="19">
                  <c:v>5.6308812196247449E-5</c:v>
                </c:pt>
                <c:pt idx="20">
                  <c:v>5.6375290330662148E-5</c:v>
                </c:pt>
                <c:pt idx="21">
                  <c:v>5.6404585987411139E-5</c:v>
                </c:pt>
                <c:pt idx="22">
                  <c:v>5.6417180800325285E-5</c:v>
                </c:pt>
                <c:pt idx="23">
                  <c:v>5.6422481612038847E-5</c:v>
                </c:pt>
                <c:pt idx="24">
                  <c:v>5.6424671858842432E-5</c:v>
                </c:pt>
                <c:pt idx="25">
                  <c:v>5.6425562442985045E-5</c:v>
                </c:pt>
                <c:pt idx="26">
                  <c:v>5.6425919513198177E-5</c:v>
                </c:pt>
                <c:pt idx="27">
                  <c:v>5.6426060916830226E-5</c:v>
                </c:pt>
                <c:pt idx="28">
                  <c:v>5.6426116305123252E-5</c:v>
                </c:pt>
                <c:pt idx="29">
                  <c:v>5.6426137791254065E-5</c:v>
                </c:pt>
                <c:pt idx="30">
                  <c:v>5.6426146054282206E-5</c:v>
                </c:pt>
                <c:pt idx="31">
                  <c:v>5.6426149207522136E-5</c:v>
                </c:pt>
                <c:pt idx="32">
                  <c:v>5.6426150402488259E-5</c:v>
                </c:pt>
                <c:pt idx="33">
                  <c:v>5.6426150852511741E-5</c:v>
                </c:pt>
                <c:pt idx="34">
                  <c:v>5.6426151021034604E-5</c:v>
                </c:pt>
                <c:pt idx="35">
                  <c:v>5.6426151083819898E-5</c:v>
                </c:pt>
                <c:pt idx="36">
                  <c:v>5.6426151107102767E-5</c:v>
                </c:pt>
                <c:pt idx="37">
                  <c:v>5.6426151115700368E-5</c:v>
                </c:pt>
                <c:pt idx="38">
                  <c:v>5.6426151118862925E-5</c:v>
                </c:pt>
                <c:pt idx="39">
                  <c:v>5.6426151120022127E-5</c:v>
                </c:pt>
                <c:pt idx="40">
                  <c:v>5.6426151120445671E-5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72F-431E-8D45-57C4B15BD884}"/>
            </c:ext>
          </c:extLst>
        </c:ser>
        <c:ser>
          <c:idx val="1"/>
          <c:order val="1"/>
          <c:tx>
            <c:strRef>
              <c:f>Breakthrough!$K$7</c:f>
              <c:strCache>
                <c:ptCount val="1"/>
                <c:pt idx="0">
                  <c:v>TCE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xVal>
            <c:numRef>
              <c:f>Breakthrough!$A$8:$A$48</c:f>
              <c:numCache>
                <c:formatCode>0.#</c:formatCode>
                <c:ptCount val="41"/>
                <c:pt idx="0">
                  <c:v>0</c:v>
                </c:pt>
                <c:pt idx="1">
                  <c:v>1.5</c:v>
                </c:pt>
                <c:pt idx="2">
                  <c:v>3</c:v>
                </c:pt>
                <c:pt idx="3">
                  <c:v>4.5</c:v>
                </c:pt>
                <c:pt idx="4">
                  <c:v>6</c:v>
                </c:pt>
                <c:pt idx="5">
                  <c:v>7.5</c:v>
                </c:pt>
                <c:pt idx="6">
                  <c:v>9</c:v>
                </c:pt>
                <c:pt idx="7">
                  <c:v>10.5</c:v>
                </c:pt>
                <c:pt idx="8">
                  <c:v>12</c:v>
                </c:pt>
                <c:pt idx="9">
                  <c:v>13.5</c:v>
                </c:pt>
                <c:pt idx="10">
                  <c:v>15</c:v>
                </c:pt>
                <c:pt idx="11">
                  <c:v>16.5</c:v>
                </c:pt>
                <c:pt idx="12">
                  <c:v>18</c:v>
                </c:pt>
                <c:pt idx="13">
                  <c:v>19.5</c:v>
                </c:pt>
                <c:pt idx="14">
                  <c:v>21</c:v>
                </c:pt>
                <c:pt idx="15">
                  <c:v>22.5</c:v>
                </c:pt>
                <c:pt idx="16">
                  <c:v>24</c:v>
                </c:pt>
                <c:pt idx="17">
                  <c:v>25.5</c:v>
                </c:pt>
                <c:pt idx="18">
                  <c:v>27</c:v>
                </c:pt>
                <c:pt idx="19">
                  <c:v>28.5</c:v>
                </c:pt>
                <c:pt idx="20">
                  <c:v>30</c:v>
                </c:pt>
                <c:pt idx="21">
                  <c:v>31.5</c:v>
                </c:pt>
                <c:pt idx="22">
                  <c:v>33</c:v>
                </c:pt>
                <c:pt idx="23">
                  <c:v>34.5</c:v>
                </c:pt>
                <c:pt idx="24">
                  <c:v>36</c:v>
                </c:pt>
                <c:pt idx="25">
                  <c:v>37.5</c:v>
                </c:pt>
                <c:pt idx="26">
                  <c:v>39</c:v>
                </c:pt>
                <c:pt idx="27">
                  <c:v>40.5</c:v>
                </c:pt>
                <c:pt idx="28">
                  <c:v>42</c:v>
                </c:pt>
                <c:pt idx="29">
                  <c:v>43.5</c:v>
                </c:pt>
                <c:pt idx="30">
                  <c:v>45</c:v>
                </c:pt>
                <c:pt idx="31">
                  <c:v>46.5</c:v>
                </c:pt>
                <c:pt idx="32">
                  <c:v>48</c:v>
                </c:pt>
                <c:pt idx="33">
                  <c:v>49.5</c:v>
                </c:pt>
                <c:pt idx="34">
                  <c:v>51</c:v>
                </c:pt>
                <c:pt idx="35">
                  <c:v>52.5</c:v>
                </c:pt>
                <c:pt idx="36">
                  <c:v>54</c:v>
                </c:pt>
                <c:pt idx="37">
                  <c:v>55.5</c:v>
                </c:pt>
                <c:pt idx="38">
                  <c:v>57</c:v>
                </c:pt>
                <c:pt idx="39">
                  <c:v>58.5</c:v>
                </c:pt>
                <c:pt idx="40">
                  <c:v>60</c:v>
                </c:pt>
              </c:numCache>
            </c:numRef>
          </c:xVal>
          <c:yVal>
            <c:numRef>
              <c:f>Breakthrough!$AI$8:$AI$48</c:f>
              <c:numCache>
                <c:formatCode>0.000E+00</c:formatCode>
                <c:ptCount val="41"/>
                <c:pt idx="0">
                  <c:v>0</c:v>
                </c:pt>
                <c:pt idx="1">
                  <c:v>4.7674997299888286E-47</c:v>
                </c:pt>
                <c:pt idx="2">
                  <c:v>4.1783979732171087E-21</c:v>
                </c:pt>
                <c:pt idx="3">
                  <c:v>1.137752395935514E-12</c:v>
                </c:pt>
                <c:pt idx="4">
                  <c:v>1.2856290852411101E-8</c:v>
                </c:pt>
                <c:pt idx="5">
                  <c:v>2.5701200361029518E-6</c:v>
                </c:pt>
                <c:pt idx="6">
                  <c:v>6.870020043435793E-5</c:v>
                </c:pt>
                <c:pt idx="7">
                  <c:v>5.8577448755441921E-4</c:v>
                </c:pt>
                <c:pt idx="8">
                  <c:v>2.4660925151499371E-3</c:v>
                </c:pt>
                <c:pt idx="9">
                  <c:v>6.5473739450652713E-3</c:v>
                </c:pt>
                <c:pt idx="10">
                  <c:v>1.2719657017420978E-2</c:v>
                </c:pt>
                <c:pt idx="11">
                  <c:v>1.990895595485977E-2</c:v>
                </c:pt>
                <c:pt idx="12">
                  <c:v>2.6806421894705258E-2</c:v>
                </c:pt>
                <c:pt idx="13">
                  <c:v>3.2516250676102615E-2</c:v>
                </c:pt>
                <c:pt idx="14">
                  <c:v>3.6731431140224216E-2</c:v>
                </c:pt>
                <c:pt idx="15">
                  <c:v>3.957391518701716E-2</c:v>
                </c:pt>
                <c:pt idx="16">
                  <c:v>4.1356389228456587E-2</c:v>
                </c:pt>
                <c:pt idx="17">
                  <c:v>4.2409969246575564E-2</c:v>
                </c:pt>
                <c:pt idx="18">
                  <c:v>4.3003111085822235E-2</c:v>
                </c:pt>
                <c:pt idx="19">
                  <c:v>4.3323765761154716E-2</c:v>
                </c:pt>
                <c:pt idx="20">
                  <c:v>4.349130312417928E-2</c:v>
                </c:pt>
                <c:pt idx="21">
                  <c:v>4.3576345014907349E-2</c:v>
                </c:pt>
                <c:pt idx="22">
                  <c:v>4.3618459135205991E-2</c:v>
                </c:pt>
                <c:pt idx="23">
                  <c:v>4.3638876142868037E-2</c:v>
                </c:pt>
                <c:pt idx="24">
                  <c:v>4.3648593814557976E-2</c:v>
                </c:pt>
                <c:pt idx="25">
                  <c:v>4.3653145456972645E-2</c:v>
                </c:pt>
                <c:pt idx="26">
                  <c:v>4.3655247659093607E-2</c:v>
                </c:pt>
                <c:pt idx="27">
                  <c:v>4.3656206644637367E-2</c:v>
                </c:pt>
                <c:pt idx="28">
                  <c:v>4.3656639360270796E-2</c:v>
                </c:pt>
                <c:pt idx="29">
                  <c:v>4.3656832725326049E-2</c:v>
                </c:pt>
                <c:pt idx="30">
                  <c:v>4.3656918388849233E-2</c:v>
                </c:pt>
                <c:pt idx="31">
                  <c:v>4.3656956046407056E-2</c:v>
                </c:pt>
                <c:pt idx="32">
                  <c:v>4.3656972485978114E-2</c:v>
                </c:pt>
                <c:pt idx="33">
                  <c:v>4.3656979617972241E-2</c:v>
                </c:pt>
                <c:pt idx="34">
                  <c:v>4.3656982694611476E-2</c:v>
                </c:pt>
                <c:pt idx="35">
                  <c:v>4.3656984015051213E-2</c:v>
                </c:pt>
                <c:pt idx="36">
                  <c:v>4.3656984579131912E-2</c:v>
                </c:pt>
                <c:pt idx="37">
                  <c:v>4.3656984819084539E-2</c:v>
                </c:pt>
                <c:pt idx="38">
                  <c:v>4.3656984920763739E-2</c:v>
                </c:pt>
                <c:pt idx="39">
                  <c:v>4.3656984963698062E-2</c:v>
                </c:pt>
                <c:pt idx="40">
                  <c:v>4.3656984981768607E-2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72F-431E-8D45-57C4B15BD884}"/>
            </c:ext>
          </c:extLst>
        </c:ser>
        <c:ser>
          <c:idx val="2"/>
          <c:order val="2"/>
          <c:tx>
            <c:strRef>
              <c:f>Breakthrough!$L$7</c:f>
              <c:strCache>
                <c:ptCount val="1"/>
                <c:pt idx="0">
                  <c:v>DCE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xVal>
            <c:numRef>
              <c:f>Breakthrough!$A$8:$A$48</c:f>
              <c:numCache>
                <c:formatCode>0.#</c:formatCode>
                <c:ptCount val="41"/>
                <c:pt idx="0">
                  <c:v>0</c:v>
                </c:pt>
                <c:pt idx="1">
                  <c:v>1.5</c:v>
                </c:pt>
                <c:pt idx="2">
                  <c:v>3</c:v>
                </c:pt>
                <c:pt idx="3">
                  <c:v>4.5</c:v>
                </c:pt>
                <c:pt idx="4">
                  <c:v>6</c:v>
                </c:pt>
                <c:pt idx="5">
                  <c:v>7.5</c:v>
                </c:pt>
                <c:pt idx="6">
                  <c:v>9</c:v>
                </c:pt>
                <c:pt idx="7">
                  <c:v>10.5</c:v>
                </c:pt>
                <c:pt idx="8">
                  <c:v>12</c:v>
                </c:pt>
                <c:pt idx="9">
                  <c:v>13.5</c:v>
                </c:pt>
                <c:pt idx="10">
                  <c:v>15</c:v>
                </c:pt>
                <c:pt idx="11">
                  <c:v>16.5</c:v>
                </c:pt>
                <c:pt idx="12">
                  <c:v>18</c:v>
                </c:pt>
                <c:pt idx="13">
                  <c:v>19.5</c:v>
                </c:pt>
                <c:pt idx="14">
                  <c:v>21</c:v>
                </c:pt>
                <c:pt idx="15">
                  <c:v>22.5</c:v>
                </c:pt>
                <c:pt idx="16">
                  <c:v>24</c:v>
                </c:pt>
                <c:pt idx="17">
                  <c:v>25.5</c:v>
                </c:pt>
                <c:pt idx="18">
                  <c:v>27</c:v>
                </c:pt>
                <c:pt idx="19">
                  <c:v>28.5</c:v>
                </c:pt>
                <c:pt idx="20">
                  <c:v>30</c:v>
                </c:pt>
                <c:pt idx="21">
                  <c:v>31.5</c:v>
                </c:pt>
                <c:pt idx="22">
                  <c:v>33</c:v>
                </c:pt>
                <c:pt idx="23">
                  <c:v>34.5</c:v>
                </c:pt>
                <c:pt idx="24">
                  <c:v>36</c:v>
                </c:pt>
                <c:pt idx="25">
                  <c:v>37.5</c:v>
                </c:pt>
                <c:pt idx="26">
                  <c:v>39</c:v>
                </c:pt>
                <c:pt idx="27">
                  <c:v>40.5</c:v>
                </c:pt>
                <c:pt idx="28">
                  <c:v>42</c:v>
                </c:pt>
                <c:pt idx="29">
                  <c:v>43.5</c:v>
                </c:pt>
                <c:pt idx="30">
                  <c:v>45</c:v>
                </c:pt>
                <c:pt idx="31">
                  <c:v>46.5</c:v>
                </c:pt>
                <c:pt idx="32">
                  <c:v>48</c:v>
                </c:pt>
                <c:pt idx="33">
                  <c:v>49.5</c:v>
                </c:pt>
                <c:pt idx="34">
                  <c:v>51</c:v>
                </c:pt>
                <c:pt idx="35">
                  <c:v>52.5</c:v>
                </c:pt>
                <c:pt idx="36">
                  <c:v>54</c:v>
                </c:pt>
                <c:pt idx="37">
                  <c:v>55.5</c:v>
                </c:pt>
                <c:pt idx="38">
                  <c:v>57</c:v>
                </c:pt>
                <c:pt idx="39">
                  <c:v>58.5</c:v>
                </c:pt>
                <c:pt idx="40">
                  <c:v>60</c:v>
                </c:pt>
              </c:numCache>
            </c:numRef>
          </c:xVal>
          <c:yVal>
            <c:numRef>
              <c:f>Breakthrough!$AJ$8:$AJ$48</c:f>
              <c:numCache>
                <c:formatCode>0.000E+00</c:formatCode>
                <c:ptCount val="41"/>
                <c:pt idx="0">
                  <c:v>0</c:v>
                </c:pt>
                <c:pt idx="1">
                  <c:v>3.7713268344389717E-46</c:v>
                </c:pt>
                <c:pt idx="2">
                  <c:v>4.1416248032418747E-20</c:v>
                </c:pt>
                <c:pt idx="3">
                  <c:v>1.3984963135157214E-11</c:v>
                </c:pt>
                <c:pt idx="4">
                  <c:v>1.9419797898158048E-7</c:v>
                </c:pt>
                <c:pt idx="5">
                  <c:v>4.7308442891420012E-5</c:v>
                </c:pt>
                <c:pt idx="6">
                  <c:v>1.5282145904487255E-3</c:v>
                </c:pt>
                <c:pt idx="7">
                  <c:v>1.5610725472208079E-2</c:v>
                </c:pt>
                <c:pt idx="8">
                  <c:v>7.7991861610162069E-2</c:v>
                </c:pt>
                <c:pt idx="9">
                  <c:v>0.2431237357336283</c:v>
                </c:pt>
                <c:pt idx="10">
                  <c:v>0.54788851892337642</c:v>
                </c:pt>
                <c:pt idx="11">
                  <c:v>0.98119207633372607</c:v>
                </c:pt>
                <c:pt idx="12">
                  <c:v>1.4886351724781071</c:v>
                </c:pt>
                <c:pt idx="13">
                  <c:v>2.001342403687616</c:v>
                </c:pt>
                <c:pt idx="14">
                  <c:v>2.4632412416919602</c:v>
                </c:pt>
                <c:pt idx="15">
                  <c:v>2.843293661636106</c:v>
                </c:pt>
                <c:pt idx="16">
                  <c:v>3.1340415096191547</c:v>
                </c:pt>
                <c:pt idx="17">
                  <c:v>3.3436689267979141</c:v>
                </c:pt>
                <c:pt idx="18">
                  <c:v>3.4876063078508666</c:v>
                </c:pt>
                <c:pt idx="19">
                  <c:v>3.582501069926368</c:v>
                </c:pt>
                <c:pt idx="20">
                  <c:v>3.642961128675271</c:v>
                </c:pt>
                <c:pt idx="21">
                  <c:v>3.6803817757222936</c:v>
                </c:pt>
                <c:pt idx="22">
                  <c:v>3.7029762735893001</c:v>
                </c:pt>
                <c:pt idx="23">
                  <c:v>3.7163312663968671</c:v>
                </c:pt>
                <c:pt idx="24">
                  <c:v>3.7240807824726181</c:v>
                </c:pt>
                <c:pt idx="25">
                  <c:v>3.7285059419857212</c:v>
                </c:pt>
                <c:pt idx="26">
                  <c:v>3.7309975181758905</c:v>
                </c:pt>
                <c:pt idx="27">
                  <c:v>3.7323831359764079</c:v>
                </c:pt>
                <c:pt idx="28">
                  <c:v>3.7331453208415777</c:v>
                </c:pt>
                <c:pt idx="29">
                  <c:v>3.7335605216719636</c:v>
                </c:pt>
                <c:pt idx="30">
                  <c:v>3.7337847528386798</c:v>
                </c:pt>
                <c:pt idx="31">
                  <c:v>3.7339049157085182</c:v>
                </c:pt>
                <c:pt idx="32">
                  <c:v>3.7339688635255248</c:v>
                </c:pt>
                <c:pt idx="33">
                  <c:v>3.7340026826913042</c:v>
                </c:pt>
                <c:pt idx="34">
                  <c:v>3.7340204673346893</c:v>
                </c:pt>
                <c:pt idx="35">
                  <c:v>3.7340297720730917</c:v>
                </c:pt>
                <c:pt idx="36">
                  <c:v>3.7340346176375823</c:v>
                </c:pt>
                <c:pt idx="37">
                  <c:v>3.7340371303738369</c:v>
                </c:pt>
                <c:pt idx="38">
                  <c:v>3.734038428367886</c:v>
                </c:pt>
                <c:pt idx="39">
                  <c:v>3.7340390965044494</c:v>
                </c:pt>
                <c:pt idx="40">
                  <c:v>3.7340394393139005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72F-431E-8D45-57C4B15BD884}"/>
            </c:ext>
          </c:extLst>
        </c:ser>
        <c:ser>
          <c:idx val="3"/>
          <c:order val="3"/>
          <c:tx>
            <c:strRef>
              <c:f>Breakthrough!$M$7</c:f>
              <c:strCache>
                <c:ptCount val="1"/>
                <c:pt idx="0">
                  <c:v>VC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xVal>
            <c:numRef>
              <c:f>Breakthrough!$A$8:$A$48</c:f>
              <c:numCache>
                <c:formatCode>0.#</c:formatCode>
                <c:ptCount val="41"/>
                <c:pt idx="0">
                  <c:v>0</c:v>
                </c:pt>
                <c:pt idx="1">
                  <c:v>1.5</c:v>
                </c:pt>
                <c:pt idx="2">
                  <c:v>3</c:v>
                </c:pt>
                <c:pt idx="3">
                  <c:v>4.5</c:v>
                </c:pt>
                <c:pt idx="4">
                  <c:v>6</c:v>
                </c:pt>
                <c:pt idx="5">
                  <c:v>7.5</c:v>
                </c:pt>
                <c:pt idx="6">
                  <c:v>9</c:v>
                </c:pt>
                <c:pt idx="7">
                  <c:v>10.5</c:v>
                </c:pt>
                <c:pt idx="8">
                  <c:v>12</c:v>
                </c:pt>
                <c:pt idx="9">
                  <c:v>13.5</c:v>
                </c:pt>
                <c:pt idx="10">
                  <c:v>15</c:v>
                </c:pt>
                <c:pt idx="11">
                  <c:v>16.5</c:v>
                </c:pt>
                <c:pt idx="12">
                  <c:v>18</c:v>
                </c:pt>
                <c:pt idx="13">
                  <c:v>19.5</c:v>
                </c:pt>
                <c:pt idx="14">
                  <c:v>21</c:v>
                </c:pt>
                <c:pt idx="15">
                  <c:v>22.5</c:v>
                </c:pt>
                <c:pt idx="16">
                  <c:v>24</c:v>
                </c:pt>
                <c:pt idx="17">
                  <c:v>25.5</c:v>
                </c:pt>
                <c:pt idx="18">
                  <c:v>27</c:v>
                </c:pt>
                <c:pt idx="19">
                  <c:v>28.5</c:v>
                </c:pt>
                <c:pt idx="20">
                  <c:v>30</c:v>
                </c:pt>
                <c:pt idx="21">
                  <c:v>31.5</c:v>
                </c:pt>
                <c:pt idx="22">
                  <c:v>33</c:v>
                </c:pt>
                <c:pt idx="23">
                  <c:v>34.5</c:v>
                </c:pt>
                <c:pt idx="24">
                  <c:v>36</c:v>
                </c:pt>
                <c:pt idx="25">
                  <c:v>37.5</c:v>
                </c:pt>
                <c:pt idx="26">
                  <c:v>39</c:v>
                </c:pt>
                <c:pt idx="27">
                  <c:v>40.5</c:v>
                </c:pt>
                <c:pt idx="28">
                  <c:v>42</c:v>
                </c:pt>
                <c:pt idx="29">
                  <c:v>43.5</c:v>
                </c:pt>
                <c:pt idx="30">
                  <c:v>45</c:v>
                </c:pt>
                <c:pt idx="31">
                  <c:v>46.5</c:v>
                </c:pt>
                <c:pt idx="32">
                  <c:v>48</c:v>
                </c:pt>
                <c:pt idx="33">
                  <c:v>49.5</c:v>
                </c:pt>
                <c:pt idx="34">
                  <c:v>51</c:v>
                </c:pt>
                <c:pt idx="35">
                  <c:v>52.5</c:v>
                </c:pt>
                <c:pt idx="36">
                  <c:v>54</c:v>
                </c:pt>
                <c:pt idx="37">
                  <c:v>55.5</c:v>
                </c:pt>
                <c:pt idx="38">
                  <c:v>57</c:v>
                </c:pt>
                <c:pt idx="39">
                  <c:v>58.5</c:v>
                </c:pt>
                <c:pt idx="40">
                  <c:v>60</c:v>
                </c:pt>
              </c:numCache>
            </c:numRef>
          </c:xVal>
          <c:yVal>
            <c:numRef>
              <c:f>Breakthrough!$AK$8:$AK$48</c:f>
              <c:numCache>
                <c:formatCode>0.000E+00</c:formatCode>
                <c:ptCount val="41"/>
                <c:pt idx="0">
                  <c:v>0</c:v>
                </c:pt>
                <c:pt idx="1">
                  <c:v>6.6456601343214659E-47</c:v>
                </c:pt>
                <c:pt idx="2">
                  <c:v>1.3273607517103668E-20</c:v>
                </c:pt>
                <c:pt idx="3">
                  <c:v>6.5156585060526947E-12</c:v>
                </c:pt>
                <c:pt idx="4">
                  <c:v>1.190927710426721E-7</c:v>
                </c:pt>
                <c:pt idx="5">
                  <c:v>3.6085786145027058E-5</c:v>
                </c:pt>
                <c:pt idx="6">
                  <c:v>1.3971599079202607E-3</c:v>
                </c:pt>
                <c:pt idx="7">
                  <c:v>1.665670197509897E-2</c:v>
                </c:pt>
                <c:pt idx="8">
                  <c:v>9.5149878009757105E-2</c:v>
                </c:pt>
                <c:pt idx="9">
                  <c:v>0.33350639189186704</c:v>
                </c:pt>
                <c:pt idx="10">
                  <c:v>0.83301951805249097</c:v>
                </c:pt>
                <c:pt idx="11">
                  <c:v>1.632493425013243</c:v>
                </c:pt>
                <c:pt idx="12">
                  <c:v>2.6787061700022794</c:v>
                </c:pt>
                <c:pt idx="13">
                  <c:v>3.8524143467134855</c:v>
                </c:pt>
                <c:pt idx="14">
                  <c:v>5.02002934464638</c:v>
                </c:pt>
                <c:pt idx="15">
                  <c:v>6.0757894277253541</c:v>
                </c:pt>
                <c:pt idx="16">
                  <c:v>6.9596135174049554</c:v>
                </c:pt>
                <c:pt idx="17">
                  <c:v>7.6543095103717196</c:v>
                </c:pt>
                <c:pt idx="18">
                  <c:v>8.1725913518083839</c:v>
                </c:pt>
                <c:pt idx="19">
                  <c:v>8.5427439113166592</c:v>
                </c:pt>
                <c:pt idx="20">
                  <c:v>8.7975350243946338</c:v>
                </c:pt>
                <c:pt idx="21">
                  <c:v>8.9674956298199398</c:v>
                </c:pt>
                <c:pt idx="22">
                  <c:v>9.077853516643005</c:v>
                </c:pt>
                <c:pt idx="23">
                  <c:v>9.1478597385334197</c:v>
                </c:pt>
                <c:pt idx="24">
                  <c:v>9.1913772783153256</c:v>
                </c:pt>
                <c:pt idx="25">
                  <c:v>9.2179531230757714</c:v>
                </c:pt>
                <c:pt idx="26">
                  <c:v>9.233931477770966</c:v>
                </c:pt>
                <c:pt idx="27">
                  <c:v>9.2434066200088054</c:v>
                </c:pt>
                <c:pt idx="28">
                  <c:v>9.2489569583578071</c:v>
                </c:pt>
                <c:pt idx="29">
                  <c:v>9.252172911054263</c:v>
                </c:pt>
                <c:pt idx="30">
                  <c:v>9.2540181557364853</c:v>
                </c:pt>
                <c:pt idx="31">
                  <c:v>9.2550676599634247</c:v>
                </c:pt>
                <c:pt idx="32">
                  <c:v>9.2556598713935667</c:v>
                </c:pt>
                <c:pt idx="33">
                  <c:v>9.2559916599292329</c:v>
                </c:pt>
                <c:pt idx="34">
                  <c:v>9.2561763433036415</c:v>
                </c:pt>
                <c:pt idx="35">
                  <c:v>9.2562785388329871</c:v>
                </c:pt>
                <c:pt idx="36">
                  <c:v>9.2563347859558398</c:v>
                </c:pt>
                <c:pt idx="37">
                  <c:v>9.2563655919000105</c:v>
                </c:pt>
                <c:pt idx="38">
                  <c:v>9.256382388223015</c:v>
                </c:pt>
                <c:pt idx="39">
                  <c:v>9.2563915083341914</c:v>
                </c:pt>
                <c:pt idx="40">
                  <c:v>9.2563964416222628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72F-431E-8D45-57C4B15BD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100"/>
      </c:scatterChart>
      <c:val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100"/>
        <c:crossesAt val="0"/>
        <c:crossBetween val="midCat"/>
      </c:valAx>
      <c:valAx>
        <c:axId val="100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mg/L</a:t>
                </a:r>
              </a:p>
            </c:rich>
          </c:tx>
          <c:overlay val="0"/>
        </c:title>
        <c:numFmt formatCode="0.0E+00" sourceLinked="0"/>
        <c:majorTickMark val="none"/>
        <c:minorTickMark val="none"/>
        <c:tickLblPos val="nextTo"/>
        <c:crossAx val="10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4</xdr:row>
      <xdr:rowOff>0</xdr:rowOff>
    </xdr:from>
    <xdr:ext cx="7200000" cy="324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165100</xdr:colOff>
      <xdr:row>6</xdr:row>
      <xdr:rowOff>79375</xdr:rowOff>
    </xdr:from>
    <xdr:ext cx="6480000" cy="288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37</xdr:col>
      <xdr:colOff>165100</xdr:colOff>
      <xdr:row>22</xdr:row>
      <xdr:rowOff>25400</xdr:rowOff>
    </xdr:from>
    <xdr:ext cx="6480000" cy="2880000"/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F379274-7E08-4891-B0D1-F444E19EF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7972425" cy="46005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39</xdr:row>
      <xdr:rowOff>0</xdr:rowOff>
    </xdr:from>
    <xdr:ext cx="8401050" cy="5476875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73</xdr:row>
      <xdr:rowOff>0</xdr:rowOff>
    </xdr:from>
    <xdr:ext cx="7286625" cy="4467225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E6C97"/>
  </sheetPr>
  <dimension ref="B2:B19"/>
  <sheetViews>
    <sheetView showGridLines="0" tabSelected="1" workbookViewId="0">
      <selection activeCell="B20" sqref="B20"/>
    </sheetView>
  </sheetViews>
  <sheetFormatPr defaultRowHeight="15"/>
  <cols>
    <col min="1" max="1" width="2" customWidth="1"/>
    <col min="2" max="2" width="112" customWidth="1"/>
  </cols>
  <sheetData>
    <row r="2" spans="2:2" ht="16.5">
      <c r="B2" s="1" t="s">
        <v>146</v>
      </c>
    </row>
    <row r="3" spans="2:2">
      <c r="B3" s="2" t="s">
        <v>147</v>
      </c>
    </row>
    <row r="4" spans="2:2" ht="37.5">
      <c r="B4" s="3" t="s">
        <v>0</v>
      </c>
    </row>
    <row r="6" spans="2:2" ht="16.5">
      <c r="B6" s="4" t="s">
        <v>141</v>
      </c>
    </row>
    <row r="7" spans="2:2" ht="85.5" customHeight="1">
      <c r="B7" s="5" t="s">
        <v>1</v>
      </c>
    </row>
    <row r="8" spans="2:2" ht="16.5">
      <c r="B8" s="4" t="s">
        <v>142</v>
      </c>
    </row>
    <row r="9" spans="2:2" ht="39" customHeight="1">
      <c r="B9" s="5" t="s">
        <v>2</v>
      </c>
    </row>
    <row r="10" spans="2:2" ht="39" customHeight="1">
      <c r="B10" s="5" t="s">
        <v>3</v>
      </c>
    </row>
    <row r="11" spans="2:2" ht="39" customHeight="1">
      <c r="B11" s="5" t="s">
        <v>4</v>
      </c>
    </row>
    <row r="12" spans="2:2" ht="16.5">
      <c r="B12" s="4" t="s">
        <v>5</v>
      </c>
    </row>
    <row r="13" spans="2:2" ht="69.95" customHeight="1">
      <c r="B13" s="5" t="s">
        <v>6</v>
      </c>
    </row>
    <row r="14" spans="2:2" ht="16.5">
      <c r="B14" s="4" t="s">
        <v>143</v>
      </c>
    </row>
    <row r="15" spans="2:2" ht="69.95" customHeight="1">
      <c r="B15" s="5" t="s">
        <v>7</v>
      </c>
    </row>
    <row r="16" spans="2:2" ht="16.5">
      <c r="B16" s="4" t="s">
        <v>144</v>
      </c>
    </row>
    <row r="17" spans="2:2" ht="101.1" customHeight="1">
      <c r="B17" s="5" t="s">
        <v>148</v>
      </c>
    </row>
    <row r="19" spans="2:2">
      <c r="B19" s="6" t="s">
        <v>149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5A6B74"/>
  </sheetPr>
  <dimension ref="B2:N73"/>
  <sheetViews>
    <sheetView showGridLines="0" workbookViewId="0">
      <selection activeCell="D7" sqref="D7"/>
    </sheetView>
  </sheetViews>
  <sheetFormatPr defaultRowHeight="15"/>
  <cols>
    <col min="1" max="1" width="2" customWidth="1"/>
  </cols>
  <sheetData>
    <row r="2" spans="2:14">
      <c r="B2" s="51" t="s">
        <v>111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4" spans="2:14" ht="57.95" customHeight="1">
      <c r="B4" s="56" t="s">
        <v>112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2:14">
      <c r="B5" s="38" t="s">
        <v>113</v>
      </c>
    </row>
    <row r="6" spans="2:14" ht="57.95" customHeight="1">
      <c r="B6" s="56" t="s">
        <v>114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2:14">
      <c r="B7" s="38" t="s">
        <v>115</v>
      </c>
    </row>
    <row r="8" spans="2:14" ht="57.95" customHeight="1">
      <c r="B8" s="56" t="s">
        <v>116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10" spans="2:14">
      <c r="B10" s="39" t="s">
        <v>117</v>
      </c>
    </row>
    <row r="39" spans="2:2">
      <c r="B39" s="39" t="s">
        <v>118</v>
      </c>
    </row>
    <row r="73" spans="2:2">
      <c r="B73" s="39" t="s">
        <v>119</v>
      </c>
    </row>
  </sheetData>
  <mergeCells count="4">
    <mergeCell ref="B8:N8"/>
    <mergeCell ref="B4:N4"/>
    <mergeCell ref="B2:N2"/>
    <mergeCell ref="B6:N6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27213-C280-4F0E-A77A-0494BECBF217}">
  <sheetPr>
    <tabColor rgb="FF00B050"/>
  </sheetPr>
  <dimension ref="B1:H17"/>
  <sheetViews>
    <sheetView workbookViewId="0">
      <selection activeCell="K6" sqref="K6"/>
    </sheetView>
  </sheetViews>
  <sheetFormatPr defaultRowHeight="15"/>
  <cols>
    <col min="1" max="1" width="2.85546875" customWidth="1"/>
    <col min="2" max="2" width="25" customWidth="1"/>
    <col min="3" max="3" width="15.7109375" customWidth="1"/>
    <col min="4" max="4" width="13.140625" customWidth="1"/>
    <col min="5" max="5" width="19.28515625" customWidth="1"/>
    <col min="6" max="6" width="17" customWidth="1"/>
    <col min="7" max="7" width="17.5703125" customWidth="1"/>
    <col min="8" max="8" width="15.85546875" customWidth="1"/>
  </cols>
  <sheetData>
    <row r="1" spans="2:8" ht="29.25">
      <c r="B1" s="79" t="s">
        <v>204</v>
      </c>
    </row>
    <row r="2" spans="2:8" ht="16.5">
      <c r="B2" s="78" t="s">
        <v>205</v>
      </c>
    </row>
    <row r="4" spans="2:8" ht="22.5">
      <c r="B4" s="58" t="s">
        <v>150</v>
      </c>
      <c r="C4" s="58" t="s">
        <v>151</v>
      </c>
      <c r="D4" s="58" t="s">
        <v>194</v>
      </c>
      <c r="E4" s="58" t="s">
        <v>198</v>
      </c>
      <c r="F4" s="58" t="s">
        <v>195</v>
      </c>
      <c r="G4" s="58" t="s">
        <v>196</v>
      </c>
      <c r="H4" s="58" t="s">
        <v>197</v>
      </c>
    </row>
    <row r="5" spans="2:8" ht="40.5">
      <c r="B5" s="59" t="s">
        <v>152</v>
      </c>
      <c r="C5" s="60" t="s">
        <v>153</v>
      </c>
      <c r="D5" s="61" t="s">
        <v>154</v>
      </c>
      <c r="E5" s="62" t="s">
        <v>155</v>
      </c>
      <c r="F5" s="62" t="s">
        <v>156</v>
      </c>
      <c r="G5" s="62" t="s">
        <v>157</v>
      </c>
      <c r="H5" s="62" t="s">
        <v>158</v>
      </c>
    </row>
    <row r="6" spans="2:8" ht="27">
      <c r="B6" s="59" t="s">
        <v>159</v>
      </c>
      <c r="C6" s="60" t="s">
        <v>153</v>
      </c>
      <c r="D6" s="63" t="s">
        <v>160</v>
      </c>
      <c r="E6" s="62" t="s">
        <v>155</v>
      </c>
      <c r="F6" s="62" t="s">
        <v>161</v>
      </c>
      <c r="G6" s="62" t="s">
        <v>162</v>
      </c>
      <c r="H6" s="62" t="s">
        <v>158</v>
      </c>
    </row>
    <row r="7" spans="2:8" ht="40.5">
      <c r="B7" s="59" t="s">
        <v>163</v>
      </c>
      <c r="C7" s="60" t="s">
        <v>164</v>
      </c>
      <c r="D7" s="61" t="s">
        <v>165</v>
      </c>
      <c r="E7" s="61" t="s">
        <v>166</v>
      </c>
      <c r="F7" s="63" t="s">
        <v>167</v>
      </c>
      <c r="G7" s="62" t="s">
        <v>168</v>
      </c>
      <c r="H7" s="61" t="s">
        <v>169</v>
      </c>
    </row>
    <row r="8" spans="2:8" ht="27">
      <c r="B8" s="59" t="s">
        <v>170</v>
      </c>
      <c r="C8" s="60" t="s">
        <v>171</v>
      </c>
      <c r="D8" s="63" t="s">
        <v>172</v>
      </c>
      <c r="E8" s="62" t="s">
        <v>173</v>
      </c>
      <c r="F8" s="61" t="s">
        <v>166</v>
      </c>
      <c r="G8" s="63" t="s">
        <v>174</v>
      </c>
      <c r="H8" s="63" t="s">
        <v>175</v>
      </c>
    </row>
    <row r="9" spans="2:8" ht="27">
      <c r="B9" s="59" t="s">
        <v>176</v>
      </c>
      <c r="C9" s="60" t="s">
        <v>177</v>
      </c>
      <c r="D9" s="63" t="s">
        <v>172</v>
      </c>
      <c r="E9" s="62" t="s">
        <v>178</v>
      </c>
      <c r="F9" s="63" t="s">
        <v>179</v>
      </c>
      <c r="G9" s="62" t="s">
        <v>180</v>
      </c>
      <c r="H9" s="63" t="s">
        <v>175</v>
      </c>
    </row>
    <row r="10" spans="2:8" ht="57.75" customHeight="1" thickBot="1">
      <c r="B10" s="64" t="s">
        <v>181</v>
      </c>
      <c r="C10" s="65" t="s">
        <v>182</v>
      </c>
      <c r="D10" s="66" t="s">
        <v>183</v>
      </c>
      <c r="E10" s="66" t="s">
        <v>166</v>
      </c>
      <c r="F10" s="67" t="s">
        <v>184</v>
      </c>
      <c r="G10" s="66" t="s">
        <v>185</v>
      </c>
      <c r="H10" s="66" t="s">
        <v>166</v>
      </c>
    </row>
    <row r="11" spans="2:8" ht="27.75" thickTop="1">
      <c r="B11" s="68" t="s">
        <v>200</v>
      </c>
      <c r="C11" s="69" t="s">
        <v>199</v>
      </c>
      <c r="D11" s="70" t="s">
        <v>186</v>
      </c>
      <c r="E11" s="70" t="s">
        <v>187</v>
      </c>
      <c r="F11" s="71" t="s">
        <v>188</v>
      </c>
      <c r="G11" s="71" t="s">
        <v>190</v>
      </c>
      <c r="H11" s="71" t="s">
        <v>192</v>
      </c>
    </row>
    <row r="12" spans="2:8" ht="27">
      <c r="B12" s="72"/>
      <c r="C12" s="73"/>
      <c r="D12" s="74"/>
      <c r="E12" s="74"/>
      <c r="F12" s="75" t="s">
        <v>189</v>
      </c>
      <c r="G12" s="75" t="s">
        <v>191</v>
      </c>
      <c r="H12" s="75" t="s">
        <v>193</v>
      </c>
    </row>
    <row r="14" spans="2:8">
      <c r="B14" s="76" t="s">
        <v>201</v>
      </c>
    </row>
    <row r="16" spans="2:8">
      <c r="B16" s="77" t="s">
        <v>202</v>
      </c>
    </row>
    <row r="17" spans="2:2">
      <c r="B17" s="77" t="s">
        <v>203</v>
      </c>
    </row>
  </sheetData>
  <mergeCells count="4">
    <mergeCell ref="B11:B12"/>
    <mergeCell ref="C11:C12"/>
    <mergeCell ref="D11:D12"/>
    <mergeCell ref="E11:E12"/>
  </mergeCells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24"/>
  <sheetViews>
    <sheetView workbookViewId="0"/>
  </sheetViews>
  <sheetFormatPr defaultRowHeight="15"/>
  <cols>
    <col min="1" max="1" width="30" customWidth="1"/>
    <col min="2" max="2" width="16" customWidth="1"/>
  </cols>
  <sheetData>
    <row r="1" spans="1:2">
      <c r="A1" s="57" t="s">
        <v>120</v>
      </c>
      <c r="B1" s="45"/>
    </row>
    <row r="2" spans="1:2">
      <c r="A2" s="17" t="s">
        <v>121</v>
      </c>
      <c r="B2" s="40">
        <f>v_s/R_eng</f>
        <v>21.075471698113208</v>
      </c>
    </row>
    <row r="4" spans="1:2">
      <c r="A4" s="17" t="s">
        <v>122</v>
      </c>
      <c r="B4" s="40">
        <f>lam_1/R_eng</f>
        <v>0.37735849056603776</v>
      </c>
    </row>
    <row r="5" spans="1:2">
      <c r="A5" s="17" t="s">
        <v>123</v>
      </c>
      <c r="B5" s="40">
        <f>lam_2/R_eng</f>
        <v>0.28301886792452829</v>
      </c>
    </row>
    <row r="6" spans="1:2">
      <c r="A6" s="17" t="s">
        <v>124</v>
      </c>
      <c r="B6" s="40">
        <f>lam_3/R_eng</f>
        <v>0.15094339622641512</v>
      </c>
    </row>
    <row r="7" spans="1:2">
      <c r="A7" s="17" t="s">
        <v>125</v>
      </c>
      <c r="B7" s="40">
        <f>lam_4/R_eng</f>
        <v>0.12264150943396228</v>
      </c>
    </row>
    <row r="9" spans="1:2">
      <c r="A9" s="17" t="s">
        <v>126</v>
      </c>
      <c r="B9" s="40">
        <f>SQRT(1+4*kf_1*a_L/v_c)</f>
        <v>1.4746439413651129</v>
      </c>
    </row>
    <row r="10" spans="1:2">
      <c r="A10" s="17" t="s">
        <v>127</v>
      </c>
      <c r="B10" s="40">
        <f>SQRT(1+4*kf_2*a_L/v_c)</f>
        <v>1.3714704026531617</v>
      </c>
    </row>
    <row r="11" spans="1:2">
      <c r="A11" s="17" t="s">
        <v>128</v>
      </c>
      <c r="B11" s="40">
        <f>SQRT(1+4*kf_3*a_L/v_c)</f>
        <v>1.2123654158387782</v>
      </c>
    </row>
    <row r="12" spans="1:2">
      <c r="A12" s="17" t="s">
        <v>129</v>
      </c>
      <c r="B12" s="40">
        <f>SQRT(1+4*kf_4*a_L/v_c)</f>
        <v>1.175473009042135</v>
      </c>
    </row>
    <row r="14" spans="1:2">
      <c r="A14" s="17" t="s">
        <v>88</v>
      </c>
      <c r="B14" s="40">
        <f>y_2*kf_1/(kf_1-kf_2)</f>
        <v>3.179679999999999</v>
      </c>
    </row>
    <row r="15" spans="1:2">
      <c r="A15" s="17" t="s">
        <v>89</v>
      </c>
      <c r="B15" s="40">
        <f>y_3*kf_2/(kf_2-kf_3)</f>
        <v>1.5802285714285715</v>
      </c>
    </row>
    <row r="16" spans="1:2">
      <c r="A16" s="17" t="s">
        <v>90</v>
      </c>
      <c r="B16" s="40">
        <f>y_2*y_3*kf_1*kf_2/((kf_1-kf_3)*(kf_2-kf_3))</f>
        <v>2.09359216</v>
      </c>
    </row>
    <row r="17" spans="1:2">
      <c r="A17" s="17" t="s">
        <v>91</v>
      </c>
      <c r="B17" s="40">
        <f>y_4*kf_3/(kf_3-kf_4)</f>
        <v>3.4399466666666663</v>
      </c>
    </row>
    <row r="18" spans="1:2">
      <c r="A18" s="17" t="s">
        <v>92</v>
      </c>
      <c r="B18" s="40">
        <f>y_3*y_4*kf_2*kf_3/((kf_2-kf_4)*(kf_3-kf_4))</f>
        <v>4.4766251821176475</v>
      </c>
    </row>
    <row r="19" spans="1:2">
      <c r="A19" s="17" t="s">
        <v>93</v>
      </c>
      <c r="B19" s="40">
        <f>y_2*y_3*y_4*kf_1*kf_2*kf_3/((kf_1-kf_4)*(kf_2-kf_4)*(kf_3-kf_4))</f>
        <v>5.2719390959540142</v>
      </c>
    </row>
    <row r="21" spans="1:2">
      <c r="A21" s="17" t="s">
        <v>94</v>
      </c>
      <c r="B21" s="34">
        <f>C0_1</f>
        <v>0.1</v>
      </c>
    </row>
    <row r="22" spans="1:2">
      <c r="A22" s="17" t="s">
        <v>95</v>
      </c>
      <c r="B22" s="34">
        <f>C0_2+p_21*C0_1</f>
        <v>16.117968000000001</v>
      </c>
    </row>
    <row r="23" spans="1:2">
      <c r="A23" s="17" t="s">
        <v>96</v>
      </c>
      <c r="B23" s="34">
        <f>C0_3+p_32*C0_2+p_31*C0_1</f>
        <v>123.67697064457143</v>
      </c>
    </row>
    <row r="24" spans="1:2">
      <c r="A24" s="17" t="s">
        <v>97</v>
      </c>
      <c r="B24" s="34">
        <f>C0_4+p_43*C0_3+p_42*C0_2+p_41*C0_1</f>
        <v>413.19261845372085</v>
      </c>
    </row>
  </sheetData>
  <mergeCells count="1">
    <mergeCell ref="A1:B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32"/>
  <sheetViews>
    <sheetView workbookViewId="0">
      <pane ySplit="1" topLeftCell="A2" activePane="bottomLeft" state="frozen"/>
      <selection pane="bottomLeft"/>
    </sheetView>
  </sheetViews>
  <sheetFormatPr defaultRowHeight="15"/>
  <sheetData>
    <row r="1" spans="1:24">
      <c r="A1" s="32" t="s">
        <v>130</v>
      </c>
      <c r="B1" s="32" t="s">
        <v>43</v>
      </c>
      <c r="C1" s="32" t="s">
        <v>58</v>
      </c>
      <c r="D1" s="32" t="s">
        <v>59</v>
      </c>
      <c r="E1" s="32" t="s">
        <v>60</v>
      </c>
      <c r="F1" s="32" t="s">
        <v>61</v>
      </c>
      <c r="G1" s="32" t="s">
        <v>131</v>
      </c>
      <c r="H1" s="32" t="s">
        <v>132</v>
      </c>
      <c r="I1" s="32" t="s">
        <v>133</v>
      </c>
      <c r="J1" s="32" t="s">
        <v>134</v>
      </c>
      <c r="K1" s="32" t="s">
        <v>135</v>
      </c>
      <c r="L1" s="32" t="s">
        <v>62</v>
      </c>
      <c r="M1" s="32" t="s">
        <v>63</v>
      </c>
      <c r="N1" s="32" t="s">
        <v>64</v>
      </c>
      <c r="O1" s="32" t="s">
        <v>65</v>
      </c>
      <c r="P1" s="32" t="s">
        <v>136</v>
      </c>
      <c r="Q1" s="32" t="s">
        <v>137</v>
      </c>
      <c r="R1" s="32" t="s">
        <v>138</v>
      </c>
      <c r="S1" s="32" t="s">
        <v>139</v>
      </c>
      <c r="T1" s="32" t="s">
        <v>140</v>
      </c>
      <c r="U1" s="32" t="s">
        <v>31</v>
      </c>
      <c r="V1" s="32" t="s">
        <v>33</v>
      </c>
      <c r="W1" s="32" t="s">
        <v>34</v>
      </c>
      <c r="X1" s="32" t="s">
        <v>35</v>
      </c>
    </row>
    <row r="2" spans="1:24">
      <c r="A2" s="41">
        <v>1</v>
      </c>
      <c r="B2" s="22">
        <f t="shared" ref="B2:B32" si="0">x_min+(A2-1)*(x_max-x_min)/(31-1)</f>
        <v>0</v>
      </c>
      <c r="C2" s="41">
        <f t="shared" ref="C2:C32" si="1">IF($B2&lt;=0,0,IF(mode=1,IF(t_sim&lt;=0,0,EXP($B2*(1-cc_1)/(2*a_L))*ERFC(($B2-v_c*t_sim*cc_1)/(2*SQRT(a_L*v_c*t_sim)))+IF($B2*(1+cc_1)/(2*a_L)&gt;690,0,EXP($B2*(1+cc_1)/(2*a_L))*ERFC(($B2+v_c*t_sim*cc_1)/(2*SQRT(a_L*v_c*t_sim))))),2*EXP($B2*(1-cc_1)/(2*a_L))))</f>
        <v>0</v>
      </c>
      <c r="D2" s="41">
        <f t="shared" ref="D2:D32" si="2">IF($B2&lt;=0,0,IF(mode=1,IF(t_sim&lt;=0,0,EXP($B2*(1-cc_2)/(2*a_L))*ERFC(($B2-v_c*t_sim*cc_2)/(2*SQRT(a_L*v_c*t_sim)))+IF($B2*(1+cc_2)/(2*a_L)&gt;690,0,EXP($B2*(1+cc_2)/(2*a_L))*ERFC(($B2+v_c*t_sim*cc_2)/(2*SQRT(a_L*v_c*t_sim))))),2*EXP($B2*(1-cc_2)/(2*a_L))))</f>
        <v>0</v>
      </c>
      <c r="E2" s="41">
        <f t="shared" ref="E2:E32" si="3">IF($B2&lt;=0,0,IF(mode=1,IF(t_sim&lt;=0,0,EXP($B2*(1-cc_3)/(2*a_L))*ERFC(($B2-v_c*t_sim*cc_3)/(2*SQRT(a_L*v_c*t_sim)))+IF($B2*(1+cc_3)/(2*a_L)&gt;690,0,EXP($B2*(1+cc_3)/(2*a_L))*ERFC(($B2+v_c*t_sim*cc_3)/(2*SQRT(a_L*v_c*t_sim))))),2*EXP($B2*(1-cc_3)/(2*a_L))))</f>
        <v>0</v>
      </c>
      <c r="F2" s="41">
        <f t="shared" ref="F2:F32" si="4">IF($B2&lt;=0,0,IF(mode=1,IF(t_sim&lt;=0,0,EXP($B2*(1-cc_4)/(2*a_L))*ERFC(($B2-v_c*t_sim*cc_4)/(2*SQRT(a_L*v_c*t_sim)))+IF($B2*(1+cc_4)/(2*a_L)&gt;690,0,EXP($B2*(1+cc_4)/(2*a_L))*ERFC(($B2+v_c*t_sim*cc_4)/(2*SQRT(a_L*v_c*t_sim))))),2*EXP($B2*(1-cc_4)/(2*a_L))))</f>
        <v>0</v>
      </c>
      <c r="G2" s="41">
        <f t="shared" ref="G2:G32" si="5">IF($B2&lt;=0,0,IF(a_V&lt;=1E-30,2,ERF((0+Z_src)/(2*SQRT(a_V*$B2)))-ERF((0-Z_src)/(2*SQRT(a_V*$B2)))))</f>
        <v>0</v>
      </c>
      <c r="H2" s="41">
        <f t="shared" ref="H2:H32" si="6">a0_1*C2</f>
        <v>0</v>
      </c>
      <c r="I2" s="41">
        <f t="shared" ref="I2:I32" si="7">a0_2*D2</f>
        <v>0</v>
      </c>
      <c r="J2" s="41">
        <f t="shared" ref="J2:J32" si="8">a0_3*E2</f>
        <v>0</v>
      </c>
      <c r="K2" s="41">
        <f t="shared" ref="K2:K32" si="9">a0_4*F2</f>
        <v>0</v>
      </c>
      <c r="L2" s="41">
        <f t="shared" ref="L2:L32" si="10">H2</f>
        <v>0</v>
      </c>
      <c r="M2" s="41">
        <f t="shared" ref="M2:M32" si="11">I2-p_21*L2</f>
        <v>0</v>
      </c>
      <c r="N2" s="41">
        <f t="shared" ref="N2:N32" si="12">J2-p_32*M2-p_31*L2</f>
        <v>0</v>
      </c>
      <c r="O2" s="41">
        <f t="shared" ref="O2:O32" si="13">K2-p_43*N2-p_42*M2-p_41*L2</f>
        <v>0</v>
      </c>
      <c r="P2" s="41">
        <f t="shared" ref="P2:P32" si="14">(1/8)*G2*L2</f>
        <v>0</v>
      </c>
      <c r="Q2" s="41">
        <f t="shared" ref="Q2:Q32" si="15">(1/8)*G2*M2</f>
        <v>0</v>
      </c>
      <c r="R2" s="41">
        <f t="shared" ref="R2:R32" si="16">(1/8)*G2*N2</f>
        <v>0</v>
      </c>
      <c r="S2" s="41">
        <f t="shared" ref="S2:S32" si="17">(1/8)*G2*O2</f>
        <v>0</v>
      </c>
      <c r="T2" s="41">
        <f t="shared" ref="T2:T32" si="18">IF($B2&lt;=0,0,ERF((0+Y_src/2)/(2*SQRT(a_T*$B2)))-ERF((0-Y_src/2)/(2*SQRT(a_T*$B2))))</f>
        <v>0</v>
      </c>
      <c r="U2" s="41">
        <f t="shared" ref="U2:U32" si="19">IF($B2&lt;=0,C0_1,P2*T2)</f>
        <v>0.1</v>
      </c>
      <c r="V2" s="41">
        <f t="shared" ref="V2:V32" si="20">IF($B2&lt;=0,C0_2,Q2*T2)</f>
        <v>15.8</v>
      </c>
      <c r="W2" s="41">
        <f t="shared" ref="W2:W32" si="21">IF($B2&lt;=0,C0_3,R2*T2)</f>
        <v>98.5</v>
      </c>
      <c r="X2" s="41">
        <f t="shared" ref="X2:X32" si="22">IF($B2&lt;=0,C0_4,S2*T2)</f>
        <v>3.1</v>
      </c>
    </row>
    <row r="3" spans="1:24">
      <c r="A3" s="41">
        <v>2</v>
      </c>
      <c r="B3" s="22">
        <f t="shared" si="0"/>
        <v>20</v>
      </c>
      <c r="C3" s="41">
        <f t="shared" si="1"/>
        <v>1.4973998088228142</v>
      </c>
      <c r="D3" s="41">
        <f t="shared" si="2"/>
        <v>1.5946285697156937</v>
      </c>
      <c r="E3" s="41">
        <f t="shared" si="3"/>
        <v>1.7570848001978234</v>
      </c>
      <c r="F3" s="41">
        <f t="shared" si="4"/>
        <v>1.7970590012160583</v>
      </c>
      <c r="G3" s="41">
        <f t="shared" si="5"/>
        <v>2</v>
      </c>
      <c r="H3" s="41">
        <f t="shared" si="6"/>
        <v>0.14973998088228144</v>
      </c>
      <c r="I3" s="41">
        <f t="shared" si="7"/>
        <v>25.702172258563323</v>
      </c>
      <c r="J3" s="41">
        <f t="shared" si="8"/>
        <v>217.31092525408886</v>
      </c>
      <c r="K3" s="41">
        <f t="shared" si="9"/>
        <v>742.53151422829148</v>
      </c>
      <c r="L3" s="41">
        <f t="shared" si="10"/>
        <v>0.14973998088228144</v>
      </c>
      <c r="M3" s="41">
        <f t="shared" si="11"/>
        <v>25.226047036151549</v>
      </c>
      <c r="N3" s="41">
        <f t="shared" si="12"/>
        <v>177.13451053334745</v>
      </c>
      <c r="O3" s="41">
        <f t="shared" si="13"/>
        <v>19.481267700710472</v>
      </c>
      <c r="P3" s="41">
        <f t="shared" si="14"/>
        <v>3.7434995220570359E-2</v>
      </c>
      <c r="Q3" s="41">
        <f t="shared" si="15"/>
        <v>6.3065117590378872</v>
      </c>
      <c r="R3" s="41">
        <f t="shared" si="16"/>
        <v>44.283627633336863</v>
      </c>
      <c r="S3" s="41">
        <f t="shared" si="17"/>
        <v>4.8703169251776179</v>
      </c>
      <c r="T3" s="41">
        <f t="shared" si="18"/>
        <v>1.9999999986625017</v>
      </c>
      <c r="U3" s="41">
        <f t="shared" si="19"/>
        <v>7.4869990391071478E-2</v>
      </c>
      <c r="V3" s="41">
        <f t="shared" si="20"/>
        <v>12.613023509640826</v>
      </c>
      <c r="W3" s="41">
        <f t="shared" si="21"/>
        <v>88.567255207444447</v>
      </c>
      <c r="X3" s="41">
        <f t="shared" si="22"/>
        <v>9.740633843841195</v>
      </c>
    </row>
    <row r="4" spans="1:24">
      <c r="A4" s="41">
        <v>3</v>
      </c>
      <c r="B4" s="22">
        <f t="shared" si="0"/>
        <v>40</v>
      </c>
      <c r="C4" s="41">
        <f t="shared" si="1"/>
        <v>1.1211030937297024</v>
      </c>
      <c r="D4" s="41">
        <f t="shared" si="2"/>
        <v>1.2714201376374705</v>
      </c>
      <c r="E4" s="41">
        <f t="shared" si="3"/>
        <v>1.5436734939957544</v>
      </c>
      <c r="F4" s="41">
        <f t="shared" si="4"/>
        <v>1.614710517579004</v>
      </c>
      <c r="G4" s="41">
        <f t="shared" si="5"/>
        <v>2</v>
      </c>
      <c r="H4" s="41">
        <f t="shared" si="6"/>
        <v>0.11211030937297024</v>
      </c>
      <c r="I4" s="41">
        <f t="shared" si="7"/>
        <v>20.492709092996346</v>
      </c>
      <c r="J4" s="41">
        <f t="shared" si="8"/>
        <v>190.91686140171592</v>
      </c>
      <c r="K4" s="41">
        <f t="shared" si="9"/>
        <v>667.1864668032315</v>
      </c>
      <c r="L4" s="41">
        <f t="shared" si="10"/>
        <v>0.11211030937297024</v>
      </c>
      <c r="M4" s="41">
        <f t="shared" si="11"/>
        <v>20.1362341844893</v>
      </c>
      <c r="N4" s="41">
        <f t="shared" si="12"/>
        <v>158.86229555765081</v>
      </c>
      <c r="O4" s="41">
        <f t="shared" si="13"/>
        <v>29.975230994329959</v>
      </c>
      <c r="P4" s="41">
        <f t="shared" si="14"/>
        <v>2.8027577343242561E-2</v>
      </c>
      <c r="Q4" s="41">
        <f t="shared" si="15"/>
        <v>5.0340585461223251</v>
      </c>
      <c r="R4" s="41">
        <f t="shared" si="16"/>
        <v>39.715573889412703</v>
      </c>
      <c r="S4" s="41">
        <f t="shared" si="17"/>
        <v>7.4938077485824897</v>
      </c>
      <c r="T4" s="41">
        <f t="shared" si="18"/>
        <v>1.999974597462207</v>
      </c>
      <c r="U4" s="41">
        <f t="shared" si="19"/>
        <v>5.6054442714892412E-2</v>
      </c>
      <c r="V4" s="41">
        <f t="shared" si="20"/>
        <v>10.06798921438218</v>
      </c>
      <c r="W4" s="41">
        <f t="shared" si="21"/>
        <v>79.430138902458708</v>
      </c>
      <c r="X4" s="41">
        <f t="shared" si="22"/>
        <v>14.987425135430431</v>
      </c>
    </row>
    <row r="5" spans="1:24">
      <c r="A5" s="41">
        <v>4</v>
      </c>
      <c r="B5" s="22">
        <f t="shared" si="0"/>
        <v>60</v>
      </c>
      <c r="C5" s="41">
        <f t="shared" si="1"/>
        <v>0.83936977910598543</v>
      </c>
      <c r="D5" s="41">
        <f t="shared" si="2"/>
        <v>1.0137214376760466</v>
      </c>
      <c r="E5" s="41">
        <f t="shared" si="3"/>
        <v>1.3561826055840187</v>
      </c>
      <c r="F5" s="41">
        <f t="shared" si="4"/>
        <v>1.4508650064503583</v>
      </c>
      <c r="G5" s="41">
        <f t="shared" si="5"/>
        <v>2</v>
      </c>
      <c r="H5" s="41">
        <f t="shared" si="6"/>
        <v>8.3936977910598551E-2</v>
      </c>
      <c r="I5" s="41">
        <f t="shared" si="7"/>
        <v>16.339129693376513</v>
      </c>
      <c r="J5" s="41">
        <f t="shared" si="8"/>
        <v>167.72855629949308</v>
      </c>
      <c r="K5" s="41">
        <f t="shared" si="9"/>
        <v>599.48671103809818</v>
      </c>
      <c r="L5" s="41">
        <f t="shared" si="10"/>
        <v>8.3936977910598551E-2</v>
      </c>
      <c r="M5" s="41">
        <f t="shared" si="11"/>
        <v>16.07223696345374</v>
      </c>
      <c r="N5" s="41">
        <f t="shared" si="12"/>
        <v>142.15501844418537</v>
      </c>
      <c r="O5" s="41">
        <f t="shared" si="13"/>
        <v>38.089137832082045</v>
      </c>
      <c r="P5" s="41">
        <f t="shared" si="14"/>
        <v>2.0984244477649638E-2</v>
      </c>
      <c r="Q5" s="41">
        <f t="shared" si="15"/>
        <v>4.018059240863435</v>
      </c>
      <c r="R5" s="41">
        <f t="shared" si="16"/>
        <v>35.538754611046343</v>
      </c>
      <c r="S5" s="41">
        <f t="shared" si="17"/>
        <v>9.5222844580205113</v>
      </c>
      <c r="T5" s="41">
        <f t="shared" si="18"/>
        <v>1.9992699595463639</v>
      </c>
      <c r="U5" s="41">
        <f t="shared" si="19"/>
        <v>4.1953169607941598E-2</v>
      </c>
      <c r="V5" s="41">
        <f t="shared" si="20"/>
        <v>8.0331851359359341</v>
      </c>
      <c r="W5" s="41">
        <f t="shared" si="21"/>
        <v>71.051564493554778</v>
      </c>
      <c r="X5" s="41">
        <f t="shared" si="22"/>
        <v>19.037617263175637</v>
      </c>
    </row>
    <row r="6" spans="1:24">
      <c r="A6" s="41">
        <v>5</v>
      </c>
      <c r="B6" s="22">
        <f t="shared" si="0"/>
        <v>80</v>
      </c>
      <c r="C6" s="41">
        <f t="shared" si="1"/>
        <v>0.62843607337144614</v>
      </c>
      <c r="D6" s="41">
        <f t="shared" si="2"/>
        <v>0.80825458285200558</v>
      </c>
      <c r="E6" s="41">
        <f t="shared" si="3"/>
        <v>1.1914638961680795</v>
      </c>
      <c r="F6" s="41">
        <f t="shared" si="4"/>
        <v>1.303644943260845</v>
      </c>
      <c r="G6" s="41">
        <f t="shared" si="5"/>
        <v>2</v>
      </c>
      <c r="H6" s="41">
        <f t="shared" si="6"/>
        <v>6.2843607337144614E-2</v>
      </c>
      <c r="I6" s="41">
        <f t="shared" si="7"/>
        <v>13.027421502261976</v>
      </c>
      <c r="J6" s="41">
        <f t="shared" si="8"/>
        <v>147.35664531044625</v>
      </c>
      <c r="K6" s="41">
        <f t="shared" si="9"/>
        <v>538.65646763990094</v>
      </c>
      <c r="L6" s="41">
        <f t="shared" si="10"/>
        <v>6.2843607337144614E-2</v>
      </c>
      <c r="M6" s="41">
        <f t="shared" si="11"/>
        <v>12.827598940884204</v>
      </c>
      <c r="N6" s="41">
        <f t="shared" si="12"/>
        <v>126.95453807760698</v>
      </c>
      <c r="O6" s="41">
        <f t="shared" si="13"/>
        <v>44.183967446311094</v>
      </c>
      <c r="P6" s="41">
        <f t="shared" si="14"/>
        <v>1.5710901834286153E-2</v>
      </c>
      <c r="Q6" s="41">
        <f t="shared" si="15"/>
        <v>3.2068997352210511</v>
      </c>
      <c r="R6" s="41">
        <f t="shared" si="16"/>
        <v>31.738634519401746</v>
      </c>
      <c r="S6" s="41">
        <f t="shared" si="17"/>
        <v>11.045991861577773</v>
      </c>
      <c r="T6" s="41">
        <f t="shared" si="18"/>
        <v>1.9959515522182176</v>
      </c>
      <c r="U6" s="41">
        <f t="shared" si="19"/>
        <v>3.1358198902891488E-2</v>
      </c>
      <c r="V6" s="41">
        <f t="shared" si="20"/>
        <v>6.4008165043226484</v>
      </c>
      <c r="W6" s="41">
        <f t="shared" si="21"/>
        <v>63.348776834286618</v>
      </c>
      <c r="X6" s="41">
        <f t="shared" si="22"/>
        <v>22.047264601905955</v>
      </c>
    </row>
    <row r="7" spans="1:24">
      <c r="A7" s="41">
        <v>6</v>
      </c>
      <c r="B7" s="22">
        <f t="shared" si="0"/>
        <v>100</v>
      </c>
      <c r="C7" s="41">
        <f t="shared" si="1"/>
        <v>0.47051002803890724</v>
      </c>
      <c r="D7" s="41">
        <f t="shared" si="2"/>
        <v>0.64443292413952402</v>
      </c>
      <c r="E7" s="41">
        <f t="shared" si="3"/>
        <v>1.046751498632549</v>
      </c>
      <c r="F7" s="41">
        <f t="shared" si="4"/>
        <v>1.171363301356964</v>
      </c>
      <c r="G7" s="41">
        <f t="shared" si="5"/>
        <v>2</v>
      </c>
      <c r="H7" s="41">
        <f t="shared" si="6"/>
        <v>4.7051002803890726E-2</v>
      </c>
      <c r="I7" s="41">
        <f t="shared" si="7"/>
        <v>10.386949249427277</v>
      </c>
      <c r="J7" s="41">
        <f t="shared" si="8"/>
        <v>129.45905436853892</v>
      </c>
      <c r="K7" s="41">
        <f t="shared" si="9"/>
        <v>483.99866964827885</v>
      </c>
      <c r="L7" s="41">
        <f t="shared" si="10"/>
        <v>4.7051002803890726E-2</v>
      </c>
      <c r="M7" s="41">
        <f t="shared" si="11"/>
        <v>10.237342116831801</v>
      </c>
      <c r="N7" s="41">
        <f t="shared" si="12"/>
        <v>113.18320824944189</v>
      </c>
      <c r="O7" s="41">
        <f t="shared" si="13"/>
        <v>48.577676168623611</v>
      </c>
      <c r="P7" s="41">
        <f t="shared" si="14"/>
        <v>1.1762750700972682E-2</v>
      </c>
      <c r="Q7" s="41">
        <f t="shared" si="15"/>
        <v>2.5593355292079503</v>
      </c>
      <c r="R7" s="41">
        <f t="shared" si="16"/>
        <v>28.295802062360472</v>
      </c>
      <c r="S7" s="41">
        <f t="shared" si="17"/>
        <v>12.144419042155903</v>
      </c>
      <c r="T7" s="41">
        <f t="shared" si="18"/>
        <v>1.9884675867786519</v>
      </c>
      <c r="U7" s="41">
        <f t="shared" si="19"/>
        <v>2.3389848500242044E-2</v>
      </c>
      <c r="V7" s="41">
        <f t="shared" si="20"/>
        <v>5.0891557435209966</v>
      </c>
      <c r="W7" s="41">
        <f t="shared" si="21"/>
        <v>56.265285242908327</v>
      </c>
      <c r="X7" s="41">
        <f t="shared" si="22"/>
        <v>24.148783625584453</v>
      </c>
    </row>
    <row r="8" spans="1:24">
      <c r="A8" s="41">
        <v>7</v>
      </c>
      <c r="B8" s="22">
        <f t="shared" si="0"/>
        <v>120</v>
      </c>
      <c r="C8" s="41">
        <f t="shared" si="1"/>
        <v>0.35227081297230228</v>
      </c>
      <c r="D8" s="41">
        <f t="shared" si="2"/>
        <v>0.51381557493262198</v>
      </c>
      <c r="E8" s="41">
        <f t="shared" si="3"/>
        <v>0.91961547157759582</v>
      </c>
      <c r="F8" s="41">
        <f t="shared" si="4"/>
        <v>1.0525042114972363</v>
      </c>
      <c r="G8" s="41">
        <f t="shared" si="5"/>
        <v>2</v>
      </c>
      <c r="H8" s="41">
        <f t="shared" si="6"/>
        <v>3.5227081297230227E-2</v>
      </c>
      <c r="I8" s="41">
        <f t="shared" si="7"/>
        <v>8.281662994665604</v>
      </c>
      <c r="J8" s="41">
        <f t="shared" si="8"/>
        <v>113.73525568259603</v>
      </c>
      <c r="K8" s="41">
        <f t="shared" si="9"/>
        <v>434.88697108211187</v>
      </c>
      <c r="L8" s="41">
        <f t="shared" si="10"/>
        <v>3.5227081297230227E-2</v>
      </c>
      <c r="M8" s="41">
        <f t="shared" si="11"/>
        <v>8.1696521488064278</v>
      </c>
      <c r="N8" s="41">
        <f t="shared" si="12"/>
        <v>100.75158679719573</v>
      </c>
      <c r="O8" s="41">
        <f t="shared" si="13"/>
        <v>51.548700352105485</v>
      </c>
      <c r="P8" s="41">
        <f t="shared" si="14"/>
        <v>8.8067703243075567E-3</v>
      </c>
      <c r="Q8" s="41">
        <f t="shared" si="15"/>
        <v>2.0424130372016069</v>
      </c>
      <c r="R8" s="41">
        <f t="shared" si="16"/>
        <v>25.187896699298932</v>
      </c>
      <c r="S8" s="41">
        <f t="shared" si="17"/>
        <v>12.887175088026371</v>
      </c>
      <c r="T8" s="41">
        <f t="shared" si="18"/>
        <v>1.9765452478733938</v>
      </c>
      <c r="U8" s="41">
        <f t="shared" si="19"/>
        <v>1.7406980033622527E-2</v>
      </c>
      <c r="V8" s="41">
        <f t="shared" si="20"/>
        <v>4.0369217828755009</v>
      </c>
      <c r="W8" s="41">
        <f t="shared" si="21"/>
        <v>49.785017524925244</v>
      </c>
      <c r="X8" s="41">
        <f t="shared" si="22"/>
        <v>25.47208467875091</v>
      </c>
    </row>
    <row r="9" spans="1:24">
      <c r="A9" s="41">
        <v>8</v>
      </c>
      <c r="B9" s="22">
        <f t="shared" si="0"/>
        <v>140</v>
      </c>
      <c r="C9" s="41">
        <f t="shared" si="1"/>
        <v>0.26374512391481286</v>
      </c>
      <c r="D9" s="41">
        <f t="shared" si="2"/>
        <v>0.40967249558490315</v>
      </c>
      <c r="E9" s="41">
        <f t="shared" si="3"/>
        <v>0.80792099231859826</v>
      </c>
      <c r="F9" s="41">
        <f t="shared" si="4"/>
        <v>0.94570557791779131</v>
      </c>
      <c r="G9" s="41">
        <f t="shared" si="5"/>
        <v>2</v>
      </c>
      <c r="H9" s="41">
        <f t="shared" si="6"/>
        <v>2.6374512391481288E-2</v>
      </c>
      <c r="I9" s="41">
        <f t="shared" si="7"/>
        <v>6.6030881743176106</v>
      </c>
      <c r="J9" s="41">
        <f t="shared" si="8"/>
        <v>99.921220850120292</v>
      </c>
      <c r="K9" s="41">
        <f t="shared" si="9"/>
        <v>390.75856402614153</v>
      </c>
      <c r="L9" s="41">
        <f t="shared" si="10"/>
        <v>2.6374512391481288E-2</v>
      </c>
      <c r="M9" s="41">
        <f t="shared" si="11"/>
        <v>6.5192256647566653</v>
      </c>
      <c r="N9" s="41">
        <f t="shared" si="12"/>
        <v>89.564136718714764</v>
      </c>
      <c r="O9" s="41">
        <f t="shared" si="13"/>
        <v>53.339535865950403</v>
      </c>
      <c r="P9" s="41">
        <f t="shared" si="14"/>
        <v>6.5936280978703219E-3</v>
      </c>
      <c r="Q9" s="41">
        <f t="shared" si="15"/>
        <v>1.6298064161891663</v>
      </c>
      <c r="R9" s="41">
        <f t="shared" si="16"/>
        <v>22.391034179678691</v>
      </c>
      <c r="S9" s="41">
        <f t="shared" si="17"/>
        <v>13.334883966487601</v>
      </c>
      <c r="T9" s="41">
        <f t="shared" si="18"/>
        <v>1.9607343344996555</v>
      </c>
      <c r="U9" s="41">
        <f t="shared" si="19"/>
        <v>1.2928353000415995E-2</v>
      </c>
      <c r="V9" s="41">
        <f t="shared" si="20"/>
        <v>3.1956173988099335</v>
      </c>
      <c r="W9" s="41">
        <f t="shared" si="21"/>
        <v>43.902869501051335</v>
      </c>
      <c r="X9" s="41">
        <f t="shared" si="22"/>
        <v>26.146164839661193</v>
      </c>
    </row>
    <row r="10" spans="1:24">
      <c r="A10" s="41">
        <v>9</v>
      </c>
      <c r="B10" s="22">
        <f t="shared" si="0"/>
        <v>160</v>
      </c>
      <c r="C10" s="41">
        <f t="shared" si="1"/>
        <v>0.1974659489111143</v>
      </c>
      <c r="D10" s="41">
        <f t="shared" si="2"/>
        <v>0.32663772906442207</v>
      </c>
      <c r="E10" s="41">
        <f t="shared" si="3"/>
        <v>0.70979250299730201</v>
      </c>
      <c r="F10" s="41">
        <f t="shared" si="4"/>
        <v>0.84974344992378936</v>
      </c>
      <c r="G10" s="41">
        <f t="shared" si="5"/>
        <v>2</v>
      </c>
      <c r="H10" s="41">
        <f t="shared" si="6"/>
        <v>1.974659489111143E-2</v>
      </c>
      <c r="I10" s="41">
        <f t="shared" si="7"/>
        <v>5.2647364646530255</v>
      </c>
      <c r="J10" s="41">
        <f t="shared" si="8"/>
        <v>87.7849865569342</v>
      </c>
      <c r="K10" s="41">
        <f t="shared" si="9"/>
        <v>351.10772108790877</v>
      </c>
      <c r="L10" s="41">
        <f t="shared" si="10"/>
        <v>1.974659489111143E-2</v>
      </c>
      <c r="M10" s="41">
        <f t="shared" si="11"/>
        <v>5.2019486118096561</v>
      </c>
      <c r="N10" s="41">
        <f t="shared" si="12"/>
        <v>79.52337741719866</v>
      </c>
      <c r="O10" s="41">
        <f t="shared" si="13"/>
        <v>54.160267022213525</v>
      </c>
      <c r="P10" s="41">
        <f t="shared" si="14"/>
        <v>4.9366487227778576E-3</v>
      </c>
      <c r="Q10" s="41">
        <f t="shared" si="15"/>
        <v>1.300487152952414</v>
      </c>
      <c r="R10" s="41">
        <f t="shared" si="16"/>
        <v>19.880844354299665</v>
      </c>
      <c r="S10" s="41">
        <f t="shared" si="17"/>
        <v>13.540066755553381</v>
      </c>
      <c r="T10" s="41">
        <f t="shared" si="18"/>
        <v>1.9418686553275799</v>
      </c>
      <c r="U10" s="41">
        <f t="shared" si="19"/>
        <v>9.5863234171252535E-3</v>
      </c>
      <c r="V10" s="41">
        <f t="shared" si="20"/>
        <v>2.525375238974497</v>
      </c>
      <c r="W10" s="41">
        <f t="shared" si="21"/>
        <v>38.605988493060799</v>
      </c>
      <c r="X10" s="41">
        <f t="shared" si="22"/>
        <v>26.293031223652111</v>
      </c>
    </row>
    <row r="11" spans="1:24">
      <c r="A11" s="41">
        <v>10</v>
      </c>
      <c r="B11" s="22">
        <f t="shared" si="0"/>
        <v>180</v>
      </c>
      <c r="C11" s="41">
        <f t="shared" si="1"/>
        <v>0.14784273680609575</v>
      </c>
      <c r="D11" s="41">
        <f t="shared" si="2"/>
        <v>0.26043292073835889</v>
      </c>
      <c r="E11" s="41">
        <f t="shared" si="3"/>
        <v>0.62358220701825173</v>
      </c>
      <c r="F11" s="41">
        <f t="shared" si="4"/>
        <v>0.76351796774634573</v>
      </c>
      <c r="G11" s="41">
        <f t="shared" si="5"/>
        <v>2</v>
      </c>
      <c r="H11" s="41">
        <f t="shared" si="6"/>
        <v>1.4784273680609576E-2</v>
      </c>
      <c r="I11" s="41">
        <f t="shared" si="7"/>
        <v>4.1976494826074049</v>
      </c>
      <c r="J11" s="41">
        <f t="shared" si="8"/>
        <v>77.122758311873383</v>
      </c>
      <c r="K11" s="41">
        <f t="shared" si="9"/>
        <v>315.4799883295762</v>
      </c>
      <c r="L11" s="41">
        <f t="shared" si="10"/>
        <v>1.4784273680609576E-2</v>
      </c>
      <c r="M11" s="41">
        <f t="shared" si="11"/>
        <v>4.1506402232706439</v>
      </c>
      <c r="N11" s="41">
        <f t="shared" si="12"/>
        <v>70.532845801871431</v>
      </c>
      <c r="O11" s="41">
        <f t="shared" si="13"/>
        <v>54.191958187088744</v>
      </c>
      <c r="P11" s="41">
        <f t="shared" si="14"/>
        <v>3.696068420152394E-3</v>
      </c>
      <c r="Q11" s="41">
        <f t="shared" si="15"/>
        <v>1.037660055817661</v>
      </c>
      <c r="R11" s="41">
        <f t="shared" si="16"/>
        <v>17.633211450467858</v>
      </c>
      <c r="S11" s="41">
        <f t="shared" si="17"/>
        <v>13.547989546772186</v>
      </c>
      <c r="T11" s="41">
        <f t="shared" si="18"/>
        <v>1.9207755643327682</v>
      </c>
      <c r="U11" s="41">
        <f t="shared" si="19"/>
        <v>7.099317905530738E-3</v>
      </c>
      <c r="V11" s="41">
        <f t="shared" si="20"/>
        <v>1.9931120792987396</v>
      </c>
      <c r="W11" s="41">
        <f t="shared" si="21"/>
        <v>33.86944167477143</v>
      </c>
      <c r="X11" s="41">
        <f t="shared" si="22"/>
        <v>26.02264726727579</v>
      </c>
    </row>
    <row r="12" spans="1:24">
      <c r="A12" s="41">
        <v>11</v>
      </c>
      <c r="B12" s="22">
        <f t="shared" si="0"/>
        <v>200</v>
      </c>
      <c r="C12" s="41">
        <f t="shared" si="1"/>
        <v>0.11068984245736958</v>
      </c>
      <c r="D12" s="41">
        <f t="shared" si="2"/>
        <v>0.20764687668250617</v>
      </c>
      <c r="E12" s="41">
        <f t="shared" si="3"/>
        <v>0.5478423860342817</v>
      </c>
      <c r="F12" s="41">
        <f t="shared" si="4"/>
        <v>0.68604071926981247</v>
      </c>
      <c r="G12" s="41">
        <f t="shared" si="5"/>
        <v>2</v>
      </c>
      <c r="H12" s="41">
        <f t="shared" si="6"/>
        <v>1.1068984245736959E-2</v>
      </c>
      <c r="I12" s="41">
        <f t="shared" si="7"/>
        <v>3.3468457136685807</v>
      </c>
      <c r="J12" s="41">
        <f t="shared" si="8"/>
        <v>67.755486695413822</v>
      </c>
      <c r="K12" s="41">
        <f t="shared" si="9"/>
        <v>283.46696116096786</v>
      </c>
      <c r="L12" s="41">
        <f t="shared" si="10"/>
        <v>1.1068984245736959E-2</v>
      </c>
      <c r="M12" s="41">
        <f t="shared" si="11"/>
        <v>3.3116498858420957</v>
      </c>
      <c r="N12" s="41">
        <f t="shared" si="12"/>
        <v>62.499148988601931</v>
      </c>
      <c r="O12" s="41">
        <f t="shared" si="13"/>
        <v>53.58985164400795</v>
      </c>
      <c r="P12" s="41">
        <f t="shared" si="14"/>
        <v>2.7672460614342398E-3</v>
      </c>
      <c r="Q12" s="41">
        <f t="shared" si="15"/>
        <v>0.82791247146052394</v>
      </c>
      <c r="R12" s="41">
        <f t="shared" si="16"/>
        <v>15.624787247150483</v>
      </c>
      <c r="S12" s="41">
        <f t="shared" si="17"/>
        <v>13.397462911001988</v>
      </c>
      <c r="T12" s="41">
        <f t="shared" si="18"/>
        <v>1.8981644310062331</v>
      </c>
      <c r="U12" s="41">
        <f t="shared" si="19"/>
        <v>5.2526880456565629E-3</v>
      </c>
      <c r="V12" s="41">
        <f t="shared" si="20"/>
        <v>1.5715140053128296</v>
      </c>
      <c r="W12" s="41">
        <f t="shared" si="21"/>
        <v>29.658415394580842</v>
      </c>
      <c r="X12" s="41">
        <f t="shared" si="22"/>
        <v>25.430587563389199</v>
      </c>
    </row>
    <row r="13" spans="1:24">
      <c r="A13" s="41">
        <v>12</v>
      </c>
      <c r="B13" s="22">
        <f t="shared" si="0"/>
        <v>220</v>
      </c>
      <c r="C13" s="41">
        <f t="shared" si="1"/>
        <v>8.2873473707553727E-2</v>
      </c>
      <c r="D13" s="41">
        <f t="shared" si="2"/>
        <v>0.16555980228988287</v>
      </c>
      <c r="E13" s="41">
        <f t="shared" si="3"/>
        <v>0.48130107194286964</v>
      </c>
      <c r="F13" s="41">
        <f t="shared" si="4"/>
        <v>0.61642336053928759</v>
      </c>
      <c r="G13" s="41">
        <f t="shared" si="5"/>
        <v>2</v>
      </c>
      <c r="H13" s="41">
        <f t="shared" si="6"/>
        <v>8.287347370755373E-3</v>
      </c>
      <c r="I13" s="41">
        <f t="shared" si="7"/>
        <v>2.6684875953946592</v>
      </c>
      <c r="J13" s="41">
        <f t="shared" si="8"/>
        <v>59.525858545879046</v>
      </c>
      <c r="K13" s="41">
        <f t="shared" si="9"/>
        <v>254.70158241727026</v>
      </c>
      <c r="L13" s="41">
        <f t="shared" si="10"/>
        <v>8.287347370755373E-3</v>
      </c>
      <c r="M13" s="41">
        <f t="shared" si="11"/>
        <v>2.6421364827068157</v>
      </c>
      <c r="N13" s="41">
        <f t="shared" si="12"/>
        <v>55.333328660809336</v>
      </c>
      <c r="O13" s="41">
        <f t="shared" si="13"/>
        <v>52.486337831265345</v>
      </c>
      <c r="P13" s="41">
        <f t="shared" si="14"/>
        <v>2.0718368426888433E-3</v>
      </c>
      <c r="Q13" s="41">
        <f t="shared" si="15"/>
        <v>0.66053412067670392</v>
      </c>
      <c r="R13" s="41">
        <f t="shared" si="16"/>
        <v>13.833332165202334</v>
      </c>
      <c r="S13" s="41">
        <f t="shared" si="17"/>
        <v>13.121584457816336</v>
      </c>
      <c r="T13" s="41">
        <f t="shared" si="18"/>
        <v>1.8746028437225859</v>
      </c>
      <c r="U13" s="41">
        <f t="shared" si="19"/>
        <v>3.8838712370337296E-3</v>
      </c>
      <c r="V13" s="41">
        <f t="shared" si="20"/>
        <v>1.2382391409963469</v>
      </c>
      <c r="W13" s="41">
        <f t="shared" si="21"/>
        <v>25.932003815047413</v>
      </c>
      <c r="X13" s="41">
        <f t="shared" si="22"/>
        <v>24.597759538768589</v>
      </c>
    </row>
    <row r="14" spans="1:24">
      <c r="A14" s="41">
        <v>13</v>
      </c>
      <c r="B14" s="22">
        <f t="shared" si="0"/>
        <v>240</v>
      </c>
      <c r="C14" s="41">
        <f t="shared" si="1"/>
        <v>6.2047360612081E-2</v>
      </c>
      <c r="D14" s="41">
        <f t="shared" si="2"/>
        <v>0.13200316510356142</v>
      </c>
      <c r="E14" s="41">
        <f t="shared" si="3"/>
        <v>0.42284066497037881</v>
      </c>
      <c r="F14" s="41">
        <f t="shared" si="4"/>
        <v>0.55386736808095283</v>
      </c>
      <c r="G14" s="41">
        <f t="shared" si="5"/>
        <v>2</v>
      </c>
      <c r="H14" s="41">
        <f t="shared" si="6"/>
        <v>6.2047360612081E-3</v>
      </c>
      <c r="I14" s="41">
        <f t="shared" si="7"/>
        <v>2.1276227910379197</v>
      </c>
      <c r="J14" s="41">
        <f t="shared" si="8"/>
        <v>52.2956525088726</v>
      </c>
      <c r="K14" s="41">
        <f t="shared" si="9"/>
        <v>228.85390809343971</v>
      </c>
      <c r="L14" s="41">
        <f t="shared" si="10"/>
        <v>6.2047360612081E-3</v>
      </c>
      <c r="M14" s="41">
        <f t="shared" si="11"/>
        <v>2.1078937158788174</v>
      </c>
      <c r="N14" s="41">
        <f t="shared" si="12"/>
        <v>48.951708446733541</v>
      </c>
      <c r="O14" s="41">
        <f t="shared" si="13"/>
        <v>50.993680714108365</v>
      </c>
      <c r="P14" s="41">
        <f t="shared" si="14"/>
        <v>1.551184015302025E-3</v>
      </c>
      <c r="Q14" s="41">
        <f t="shared" si="15"/>
        <v>0.52697342896970434</v>
      </c>
      <c r="R14" s="41">
        <f t="shared" si="16"/>
        <v>12.237927111683385</v>
      </c>
      <c r="S14" s="41">
        <f t="shared" si="17"/>
        <v>12.748420178527091</v>
      </c>
      <c r="T14" s="41">
        <f t="shared" si="18"/>
        <v>1.8505279816127413</v>
      </c>
      <c r="U14" s="41">
        <f t="shared" si="19"/>
        <v>2.8705094249468041E-3</v>
      </c>
      <c r="V14" s="41">
        <f t="shared" si="20"/>
        <v>0.97517907587485231</v>
      </c>
      <c r="W14" s="41">
        <f t="shared" si="21"/>
        <v>22.6466265571073</v>
      </c>
      <c r="X14" s="41">
        <f t="shared" si="22"/>
        <v>23.591308261720883</v>
      </c>
    </row>
    <row r="15" spans="1:24">
      <c r="A15" s="41">
        <v>14</v>
      </c>
      <c r="B15" s="22">
        <f t="shared" si="0"/>
        <v>260</v>
      </c>
      <c r="C15" s="41">
        <f t="shared" si="1"/>
        <v>4.6454851010703589E-2</v>
      </c>
      <c r="D15" s="41">
        <f t="shared" si="2"/>
        <v>0.10524796133962339</v>
      </c>
      <c r="E15" s="41">
        <f t="shared" si="3"/>
        <v>0.37147913893957724</v>
      </c>
      <c r="F15" s="41">
        <f t="shared" si="4"/>
        <v>0.49765480538988899</v>
      </c>
      <c r="G15" s="41">
        <f t="shared" si="5"/>
        <v>2</v>
      </c>
      <c r="H15" s="41">
        <f t="shared" si="6"/>
        <v>4.6454851010703591E-3</v>
      </c>
      <c r="I15" s="41">
        <f t="shared" si="7"/>
        <v>1.696383272937287</v>
      </c>
      <c r="J15" s="41">
        <f t="shared" si="8"/>
        <v>45.943414561700763</v>
      </c>
      <c r="K15" s="41">
        <f t="shared" si="9"/>
        <v>205.62729212512511</v>
      </c>
      <c r="L15" s="41">
        <f t="shared" si="10"/>
        <v>4.6454851010703591E-3</v>
      </c>
      <c r="M15" s="41">
        <f t="shared" si="11"/>
        <v>1.6816121168711156</v>
      </c>
      <c r="N15" s="41">
        <f t="shared" si="12"/>
        <v>43.276357297373544</v>
      </c>
      <c r="O15" s="41">
        <f t="shared" si="13"/>
        <v>49.206493231085915</v>
      </c>
      <c r="P15" s="41">
        <f t="shared" si="14"/>
        <v>1.1613712752675898E-3</v>
      </c>
      <c r="Q15" s="41">
        <f t="shared" si="15"/>
        <v>0.42040302921777889</v>
      </c>
      <c r="R15" s="41">
        <f t="shared" si="16"/>
        <v>10.819089324343386</v>
      </c>
      <c r="S15" s="41">
        <f t="shared" si="17"/>
        <v>12.301623307771479</v>
      </c>
      <c r="T15" s="41">
        <f t="shared" si="18"/>
        <v>1.8262686217591404</v>
      </c>
      <c r="U15" s="41">
        <f t="shared" si="19"/>
        <v>2.1209759182335966E-3</v>
      </c>
      <c r="V15" s="41">
        <f t="shared" si="20"/>
        <v>0.76776886075292072</v>
      </c>
      <c r="W15" s="41">
        <f t="shared" si="21"/>
        <v>19.758563349057624</v>
      </c>
      <c r="X15" s="41">
        <f t="shared" si="22"/>
        <v>22.466068643683936</v>
      </c>
    </row>
    <row r="16" spans="1:24">
      <c r="A16" s="41">
        <v>15</v>
      </c>
      <c r="B16" s="22">
        <f t="shared" si="0"/>
        <v>280</v>
      </c>
      <c r="C16" s="41">
        <f t="shared" si="1"/>
        <v>3.4780739495968972E-2</v>
      </c>
      <c r="D16" s="41">
        <f t="shared" si="2"/>
        <v>8.3915629073418249E-2</v>
      </c>
      <c r="E16" s="41">
        <f t="shared" si="3"/>
        <v>0.32635351914209915</v>
      </c>
      <c r="F16" s="41">
        <f t="shared" si="4"/>
        <v>0.44713999981274455</v>
      </c>
      <c r="G16" s="41">
        <f t="shared" si="5"/>
        <v>2</v>
      </c>
      <c r="H16" s="41">
        <f t="shared" si="6"/>
        <v>3.4780739495968976E-3</v>
      </c>
      <c r="I16" s="41">
        <f t="shared" si="7"/>
        <v>1.3525494241052252</v>
      </c>
      <c r="J16" s="41">
        <f t="shared" si="8"/>
        <v>40.362414606689974</v>
      </c>
      <c r="K16" s="41">
        <f t="shared" si="9"/>
        <v>184.75494733802418</v>
      </c>
      <c r="L16" s="41">
        <f t="shared" si="10"/>
        <v>3.4780739495968976E-3</v>
      </c>
      <c r="M16" s="41">
        <f t="shared" si="11"/>
        <v>1.3414902619291709</v>
      </c>
      <c r="N16" s="41">
        <f t="shared" si="12"/>
        <v>38.235271698143528</v>
      </c>
      <c r="O16" s="41">
        <f t="shared" si="13"/>
        <v>47.203966628749789</v>
      </c>
      <c r="P16" s="41">
        <f t="shared" si="14"/>
        <v>8.6951848739922439E-4</v>
      </c>
      <c r="Q16" s="41">
        <f t="shared" si="15"/>
        <v>0.33537256548229272</v>
      </c>
      <c r="R16" s="41">
        <f t="shared" si="16"/>
        <v>9.558817924535882</v>
      </c>
      <c r="S16" s="41">
        <f t="shared" si="17"/>
        <v>11.800991657187447</v>
      </c>
      <c r="T16" s="41">
        <f t="shared" si="18"/>
        <v>1.8020676918519203</v>
      </c>
      <c r="U16" s="41">
        <f t="shared" si="19"/>
        <v>1.5669311736100932E-3</v>
      </c>
      <c r="V16" s="41">
        <f t="shared" si="20"/>
        <v>0.6043640649891322</v>
      </c>
      <c r="W16" s="41">
        <f t="shared" si="21"/>
        <v>17.225636954101141</v>
      </c>
      <c r="X16" s="41">
        <f t="shared" si="22"/>
        <v>21.26618579723155</v>
      </c>
    </row>
    <row r="17" spans="1:24">
      <c r="A17" s="41">
        <v>16</v>
      </c>
      <c r="B17" s="22">
        <f t="shared" si="0"/>
        <v>300</v>
      </c>
      <c r="C17" s="41">
        <f t="shared" si="1"/>
        <v>2.6040331771602011E-2</v>
      </c>
      <c r="D17" s="41">
        <f t="shared" si="2"/>
        <v>6.6907017942872002E-2</v>
      </c>
      <c r="E17" s="41">
        <f t="shared" si="3"/>
        <v>0.2867053576486398</v>
      </c>
      <c r="F17" s="41">
        <f t="shared" si="4"/>
        <v>0.40174203974389516</v>
      </c>
      <c r="G17" s="41">
        <f t="shared" si="5"/>
        <v>2</v>
      </c>
      <c r="H17" s="41">
        <f t="shared" si="6"/>
        <v>2.6040331771602014E-3</v>
      </c>
      <c r="I17" s="41">
        <f t="shared" si="7"/>
        <v>1.0784051741786369</v>
      </c>
      <c r="J17" s="41">
        <f t="shared" si="8"/>
        <v>35.45885010155218</v>
      </c>
      <c r="K17" s="41">
        <f t="shared" si="9"/>
        <v>165.99684534471882</v>
      </c>
      <c r="L17" s="41">
        <f t="shared" si="10"/>
        <v>2.6040331771602014E-3</v>
      </c>
      <c r="M17" s="41">
        <f t="shared" si="11"/>
        <v>1.0701251819658841</v>
      </c>
      <c r="N17" s="41">
        <f t="shared" si="12"/>
        <v>33.76235593056041</v>
      </c>
      <c r="O17" s="41">
        <f t="shared" si="13"/>
        <v>45.051863960653449</v>
      </c>
      <c r="P17" s="41">
        <f t="shared" si="14"/>
        <v>6.5100829429005035E-4</v>
      </c>
      <c r="Q17" s="41">
        <f t="shared" si="15"/>
        <v>0.26753129549147103</v>
      </c>
      <c r="R17" s="41">
        <f t="shared" si="16"/>
        <v>8.4405889826401026</v>
      </c>
      <c r="S17" s="41">
        <f t="shared" si="17"/>
        <v>11.262965990163362</v>
      </c>
      <c r="T17" s="41">
        <f t="shared" si="18"/>
        <v>1.778101850221246</v>
      </c>
      <c r="U17" s="41">
        <f t="shared" si="19"/>
        <v>1.1575590525865159E-3</v>
      </c>
      <c r="V17" s="41">
        <f t="shared" si="20"/>
        <v>0.47569789150547154</v>
      </c>
      <c r="W17" s="41">
        <f t="shared" si="21"/>
        <v>15.008226886989432</v>
      </c>
      <c r="X17" s="41">
        <f t="shared" si="22"/>
        <v>20.026700666088441</v>
      </c>
    </row>
    <row r="18" spans="1:24">
      <c r="A18" s="41">
        <v>17</v>
      </c>
      <c r="B18" s="22">
        <f t="shared" si="0"/>
        <v>320</v>
      </c>
      <c r="C18" s="41">
        <f t="shared" si="1"/>
        <v>1.9496387144890211E-2</v>
      </c>
      <c r="D18" s="41">
        <f t="shared" si="2"/>
        <v>5.3345755598959252E-2</v>
      </c>
      <c r="E18" s="41">
        <f t="shared" si="3"/>
        <v>0.25186796602104933</v>
      </c>
      <c r="F18" s="41">
        <f t="shared" si="4"/>
        <v>0.36093801567987088</v>
      </c>
      <c r="G18" s="41">
        <f t="shared" si="5"/>
        <v>2</v>
      </c>
      <c r="H18" s="41">
        <f t="shared" si="6"/>
        <v>1.9496387144890212E-3</v>
      </c>
      <c r="I18" s="41">
        <f t="shared" si="7"/>
        <v>0.85982518167984612</v>
      </c>
      <c r="J18" s="41">
        <f t="shared" si="8"/>
        <v>31.15026703989323</v>
      </c>
      <c r="K18" s="41">
        <f t="shared" si="9"/>
        <v>149.13692379825599</v>
      </c>
      <c r="L18" s="41">
        <f t="shared" si="10"/>
        <v>1.9496387144890212E-3</v>
      </c>
      <c r="M18" s="41">
        <f t="shared" si="11"/>
        <v>0.85362595445215972</v>
      </c>
      <c r="N18" s="41">
        <f t="shared" si="12"/>
        <v>29.797261169027458</v>
      </c>
      <c r="O18" s="41">
        <f t="shared" si="13"/>
        <v>42.804292743692251</v>
      </c>
      <c r="P18" s="41">
        <f t="shared" si="14"/>
        <v>4.874096786222553E-4</v>
      </c>
      <c r="Q18" s="41">
        <f t="shared" si="15"/>
        <v>0.21340648861303993</v>
      </c>
      <c r="R18" s="41">
        <f t="shared" si="16"/>
        <v>7.4493152922568644</v>
      </c>
      <c r="S18" s="41">
        <f t="shared" si="17"/>
        <v>10.701073185923063</v>
      </c>
      <c r="T18" s="41">
        <f t="shared" si="18"/>
        <v>1.7544973284052343</v>
      </c>
      <c r="U18" s="41">
        <f t="shared" si="19"/>
        <v>8.5515897898160071E-4</v>
      </c>
      <c r="V18" s="41">
        <f t="shared" si="20"/>
        <v>0.37442111413592061</v>
      </c>
      <c r="W18" s="41">
        <f t="shared" si="21"/>
        <v>13.069803778712926</v>
      </c>
      <c r="X18" s="41">
        <f t="shared" si="22"/>
        <v>18.775004315770904</v>
      </c>
    </row>
    <row r="19" spans="1:24">
      <c r="A19" s="41">
        <v>18</v>
      </c>
      <c r="B19" s="22">
        <f t="shared" si="0"/>
        <v>340</v>
      </c>
      <c r="C19" s="41">
        <f t="shared" si="1"/>
        <v>1.4596933377490283E-2</v>
      </c>
      <c r="D19" s="41">
        <f t="shared" si="2"/>
        <v>4.2533092941199814E-2</v>
      </c>
      <c r="E19" s="41">
        <f t="shared" si="3"/>
        <v>0.22125519671930141</v>
      </c>
      <c r="F19" s="41">
        <f t="shared" si="4"/>
        <v>0.32425694212971312</v>
      </c>
      <c r="G19" s="41">
        <f t="shared" si="5"/>
        <v>2</v>
      </c>
      <c r="H19" s="41">
        <f t="shared" si="6"/>
        <v>1.4596933377490284E-3</v>
      </c>
      <c r="I19" s="41">
        <f t="shared" si="7"/>
        <v>0.68554703096728453</v>
      </c>
      <c r="J19" s="41">
        <f t="shared" si="8"/>
        <v>27.364172469611916</v>
      </c>
      <c r="K19" s="41">
        <f t="shared" si="9"/>
        <v>133.9805749703728</v>
      </c>
      <c r="L19" s="41">
        <f t="shared" si="10"/>
        <v>1.4596933377490284E-3</v>
      </c>
      <c r="M19" s="41">
        <f t="shared" si="11"/>
        <v>0.68090567325511075</v>
      </c>
      <c r="N19" s="41">
        <f t="shared" si="12"/>
        <v>26.285129867758467</v>
      </c>
      <c r="O19" s="41">
        <f t="shared" si="13"/>
        <v>40.505275200960646</v>
      </c>
      <c r="P19" s="41">
        <f t="shared" si="14"/>
        <v>3.6492333443725709E-4</v>
      </c>
      <c r="Q19" s="41">
        <f t="shared" si="15"/>
        <v>0.17022641831377769</v>
      </c>
      <c r="R19" s="41">
        <f t="shared" si="16"/>
        <v>6.5712824669396168</v>
      </c>
      <c r="S19" s="41">
        <f t="shared" si="17"/>
        <v>10.126318800240162</v>
      </c>
      <c r="T19" s="41">
        <f t="shared" si="18"/>
        <v>1.7313423092348683</v>
      </c>
      <c r="U19" s="41">
        <f t="shared" si="19"/>
        <v>6.3180720853828881E-4</v>
      </c>
      <c r="V19" s="41">
        <f t="shared" si="20"/>
        <v>0.29472020017615652</v>
      </c>
      <c r="W19" s="41">
        <f t="shared" si="21"/>
        <v>11.377139360945838</v>
      </c>
      <c r="X19" s="41">
        <f t="shared" si="22"/>
        <v>17.532124175656264</v>
      </c>
    </row>
    <row r="20" spans="1:24">
      <c r="A20" s="41">
        <v>19</v>
      </c>
      <c r="B20" s="22">
        <f t="shared" si="0"/>
        <v>360</v>
      </c>
      <c r="C20" s="41">
        <f t="shared" si="1"/>
        <v>1.0928708672320349E-2</v>
      </c>
      <c r="D20" s="41">
        <f t="shared" si="2"/>
        <v>3.3911901633636027E-2</v>
      </c>
      <c r="E20" s="41">
        <f t="shared" si="3"/>
        <v>0.19435159232908022</v>
      </c>
      <c r="F20" s="41">
        <f t="shared" si="4"/>
        <v>0.29127431026602391</v>
      </c>
      <c r="G20" s="41">
        <f t="shared" si="5"/>
        <v>2</v>
      </c>
      <c r="H20" s="41">
        <f t="shared" si="6"/>
        <v>1.092870867232035E-3</v>
      </c>
      <c r="I20" s="41">
        <f t="shared" si="7"/>
        <v>0.54659094535009323</v>
      </c>
      <c r="J20" s="41">
        <f t="shared" si="8"/>
        <v>24.036816179209367</v>
      </c>
      <c r="K20" s="41">
        <f t="shared" si="9"/>
        <v>120.35239494711992</v>
      </c>
      <c r="L20" s="41">
        <f t="shared" si="10"/>
        <v>1.092870867232035E-3</v>
      </c>
      <c r="M20" s="41">
        <f t="shared" si="11"/>
        <v>0.54311596571097287</v>
      </c>
      <c r="N20" s="41">
        <f t="shared" si="12"/>
        <v>23.176280786714337</v>
      </c>
      <c r="O20" s="41">
        <f t="shared" si="13"/>
        <v>38.190136951567553</v>
      </c>
      <c r="P20" s="41">
        <f t="shared" si="14"/>
        <v>2.7321771680800875E-4</v>
      </c>
      <c r="Q20" s="41">
        <f t="shared" si="15"/>
        <v>0.13577899142774322</v>
      </c>
      <c r="R20" s="41">
        <f t="shared" si="16"/>
        <v>5.7940701966785841</v>
      </c>
      <c r="S20" s="41">
        <f t="shared" si="17"/>
        <v>9.5475342378918882</v>
      </c>
      <c r="T20" s="41">
        <f t="shared" si="18"/>
        <v>1.7086964219778722</v>
      </c>
      <c r="U20" s="41">
        <f t="shared" si="19"/>
        <v>4.6684613513080811E-4</v>
      </c>
      <c r="V20" s="41">
        <f t="shared" si="20"/>
        <v>0.23200507683234903</v>
      </c>
      <c r="W20" s="41">
        <f t="shared" si="21"/>
        <v>9.9003070137533236</v>
      </c>
      <c r="X20" s="41">
        <f t="shared" si="22"/>
        <v>16.3138375909971</v>
      </c>
    </row>
    <row r="21" spans="1:24">
      <c r="A21" s="41">
        <v>20</v>
      </c>
      <c r="B21" s="22">
        <f t="shared" si="0"/>
        <v>380</v>
      </c>
      <c r="C21" s="41">
        <f t="shared" si="1"/>
        <v>8.1823037002726751E-3</v>
      </c>
      <c r="D21" s="41">
        <f t="shared" si="2"/>
        <v>2.7037968974775041E-2</v>
      </c>
      <c r="E21" s="41">
        <f t="shared" si="3"/>
        <v>0.17070374620829626</v>
      </c>
      <c r="F21" s="41">
        <f t="shared" si="4"/>
        <v>0.26160723282148779</v>
      </c>
      <c r="G21" s="41">
        <f t="shared" si="5"/>
        <v>2</v>
      </c>
      <c r="H21" s="41">
        <f t="shared" si="6"/>
        <v>8.1823037002726759E-4</v>
      </c>
      <c r="I21" s="41">
        <f t="shared" si="7"/>
        <v>0.43579711872041693</v>
      </c>
      <c r="J21" s="41">
        <f t="shared" si="8"/>
        <v>21.112122208721829</v>
      </c>
      <c r="K21" s="41">
        <f t="shared" si="9"/>
        <v>108.09417753594272</v>
      </c>
      <c r="L21" s="41">
        <f t="shared" si="10"/>
        <v>8.1823037002726759E-4</v>
      </c>
      <c r="M21" s="41">
        <f t="shared" si="11"/>
        <v>0.43319540797744865</v>
      </c>
      <c r="N21" s="41">
        <f t="shared" si="12"/>
        <v>20.425861407336445</v>
      </c>
      <c r="O21" s="41">
        <f t="shared" si="13"/>
        <v>35.886736541173597</v>
      </c>
      <c r="P21" s="41">
        <f t="shared" si="14"/>
        <v>2.045575925068169E-4</v>
      </c>
      <c r="Q21" s="41">
        <f t="shared" si="15"/>
        <v>0.10829885199436216</v>
      </c>
      <c r="R21" s="41">
        <f t="shared" si="16"/>
        <v>5.1064653518341112</v>
      </c>
      <c r="S21" s="41">
        <f t="shared" si="17"/>
        <v>8.9716841352933994</v>
      </c>
      <c r="T21" s="41">
        <f t="shared" si="18"/>
        <v>1.6865979558414119</v>
      </c>
      <c r="U21" s="41">
        <f t="shared" si="19"/>
        <v>3.4500641737383788E-4</v>
      </c>
      <c r="V21" s="41">
        <f t="shared" si="20"/>
        <v>0.18265662239366284</v>
      </c>
      <c r="W21" s="41">
        <f t="shared" si="21"/>
        <v>8.612554023978408</v>
      </c>
      <c r="X21" s="41">
        <f t="shared" si="22"/>
        <v>15.131624123040673</v>
      </c>
    </row>
    <row r="22" spans="1:24">
      <c r="A22" s="41">
        <v>21</v>
      </c>
      <c r="B22" s="22">
        <f t="shared" si="0"/>
        <v>400</v>
      </c>
      <c r="C22" s="41">
        <f t="shared" si="1"/>
        <v>6.1260634511727937E-3</v>
      </c>
      <c r="D22" s="41">
        <f t="shared" si="2"/>
        <v>2.1557111186567633E-2</v>
      </c>
      <c r="E22" s="41">
        <f t="shared" si="3"/>
        <v>0.14991273925045551</v>
      </c>
      <c r="F22" s="41">
        <f t="shared" si="4"/>
        <v>0.23491015211395375</v>
      </c>
      <c r="G22" s="41">
        <f t="shared" si="5"/>
        <v>2</v>
      </c>
      <c r="H22" s="41">
        <f t="shared" si="6"/>
        <v>6.126063451172794E-4</v>
      </c>
      <c r="I22" s="41">
        <f t="shared" si="7"/>
        <v>0.34745682827753915</v>
      </c>
      <c r="J22" s="41">
        <f t="shared" si="8"/>
        <v>18.540753451525877</v>
      </c>
      <c r="K22" s="41">
        <f t="shared" si="9"/>
        <v>97.063140853326416</v>
      </c>
      <c r="L22" s="41">
        <f t="shared" si="10"/>
        <v>6.126063451172794E-4</v>
      </c>
      <c r="M22" s="41">
        <f t="shared" si="11"/>
        <v>0.34550893613409667</v>
      </c>
      <c r="N22" s="41">
        <f t="shared" si="12"/>
        <v>17.993487811121586</v>
      </c>
      <c r="O22" s="41">
        <f t="shared" si="13"/>
        <v>33.616558808265594</v>
      </c>
      <c r="P22" s="41">
        <f t="shared" si="14"/>
        <v>1.5315158627931985E-4</v>
      </c>
      <c r="Q22" s="41">
        <f t="shared" si="15"/>
        <v>8.6377234033524167E-2</v>
      </c>
      <c r="R22" s="41">
        <f t="shared" si="16"/>
        <v>4.4983719527803965</v>
      </c>
      <c r="S22" s="41">
        <f t="shared" si="17"/>
        <v>8.4041397020663986</v>
      </c>
      <c r="T22" s="41">
        <f t="shared" si="18"/>
        <v>1.6650693136213932</v>
      </c>
      <c r="U22" s="41">
        <f t="shared" si="19"/>
        <v>2.5500800664613469E-4</v>
      </c>
      <c r="V22" s="41">
        <f t="shared" si="20"/>
        <v>0.14382408178471454</v>
      </c>
      <c r="W22" s="41">
        <f t="shared" si="21"/>
        <v>7.490101099829781</v>
      </c>
      <c r="X22" s="41">
        <f t="shared" si="22"/>
        <v>13.993475125297998</v>
      </c>
    </row>
    <row r="23" spans="1:24">
      <c r="A23" s="41">
        <v>22</v>
      </c>
      <c r="B23" s="22">
        <f t="shared" si="0"/>
        <v>420</v>
      </c>
      <c r="C23" s="41">
        <f t="shared" si="1"/>
        <v>4.5865475704715986E-3</v>
      </c>
      <c r="D23" s="41">
        <f t="shared" si="2"/>
        <v>1.7186925960710021E-2</v>
      </c>
      <c r="E23" s="41">
        <f t="shared" si="3"/>
        <v>0.13162753507859179</v>
      </c>
      <c r="F23" s="41">
        <f t="shared" si="4"/>
        <v>0.21087108808555943</v>
      </c>
      <c r="G23" s="41">
        <f t="shared" si="5"/>
        <v>2</v>
      </c>
      <c r="H23" s="41">
        <f t="shared" si="6"/>
        <v>4.586547570471599E-4</v>
      </c>
      <c r="I23" s="41">
        <f t="shared" si="7"/>
        <v>0.2770183226530934</v>
      </c>
      <c r="J23" s="41">
        <f t="shared" si="8"/>
        <v>16.279294791932294</v>
      </c>
      <c r="K23" s="41">
        <f t="shared" si="9"/>
        <v>87.130377042257521</v>
      </c>
      <c r="L23" s="41">
        <f t="shared" si="10"/>
        <v>4.586547570471599E-4</v>
      </c>
      <c r="M23" s="41">
        <f t="shared" si="11"/>
        <v>0.27555994729520566</v>
      </c>
      <c r="N23" s="41">
        <f t="shared" si="12"/>
        <v>15.842886854071558</v>
      </c>
      <c r="O23" s="41">
        <f t="shared" si="13"/>
        <v>31.395694619026962</v>
      </c>
      <c r="P23" s="41">
        <f t="shared" si="14"/>
        <v>1.1466368926178997E-4</v>
      </c>
      <c r="Q23" s="41">
        <f t="shared" si="15"/>
        <v>6.8889986823801416E-2</v>
      </c>
      <c r="R23" s="41">
        <f t="shared" si="16"/>
        <v>3.9607217135178896</v>
      </c>
      <c r="S23" s="41">
        <f t="shared" si="17"/>
        <v>7.8489236547567405</v>
      </c>
      <c r="T23" s="41">
        <f t="shared" si="18"/>
        <v>1.6441211261714122</v>
      </c>
      <c r="U23" s="41">
        <f t="shared" si="19"/>
        <v>1.88520993920063E-4</v>
      </c>
      <c r="V23" s="41">
        <f t="shared" si="20"/>
        <v>0.11326348271868213</v>
      </c>
      <c r="W23" s="41">
        <f t="shared" si="21"/>
        <v>6.5119062440805981</v>
      </c>
      <c r="X23" s="41">
        <f t="shared" si="22"/>
        <v>12.904581198492089</v>
      </c>
    </row>
    <row r="24" spans="1:24">
      <c r="A24" s="41">
        <v>23</v>
      </c>
      <c r="B24" s="22">
        <f t="shared" si="0"/>
        <v>440</v>
      </c>
      <c r="C24" s="41">
        <f t="shared" si="1"/>
        <v>3.4339010396611915E-3</v>
      </c>
      <c r="D24" s="41">
        <f t="shared" si="2"/>
        <v>1.3702244097445212E-2</v>
      </c>
      <c r="E24" s="41">
        <f t="shared" si="3"/>
        <v>0.11553922998728312</v>
      </c>
      <c r="F24" s="41">
        <f t="shared" si="4"/>
        <v>0.18920840477134249</v>
      </c>
      <c r="G24" s="41">
        <f t="shared" si="5"/>
        <v>2</v>
      </c>
      <c r="H24" s="41">
        <f t="shared" si="6"/>
        <v>3.4339010396611919E-4</v>
      </c>
      <c r="I24" s="41">
        <f t="shared" si="7"/>
        <v>0.22085233189081083</v>
      </c>
      <c r="J24" s="41">
        <f t="shared" si="8"/>
        <v>14.289541955433602</v>
      </c>
      <c r="K24" s="41">
        <f t="shared" si="9"/>
        <v>78.179516200922492</v>
      </c>
      <c r="L24" s="41">
        <f t="shared" si="10"/>
        <v>3.4339010396611919E-4</v>
      </c>
      <c r="M24" s="41">
        <f t="shared" si="11"/>
        <v>0.21976046124503185</v>
      </c>
      <c r="N24" s="41">
        <f t="shared" si="12"/>
        <v>13.941551276874398</v>
      </c>
      <c r="O24" s="41">
        <f t="shared" si="13"/>
        <v>29.235727811318441</v>
      </c>
      <c r="P24" s="41">
        <f t="shared" si="14"/>
        <v>8.5847525991529798E-5</v>
      </c>
      <c r="Q24" s="41">
        <f t="shared" si="15"/>
        <v>5.4940115311257962E-2</v>
      </c>
      <c r="R24" s="41">
        <f t="shared" si="16"/>
        <v>3.4853878192185994</v>
      </c>
      <c r="S24" s="41">
        <f t="shared" si="17"/>
        <v>7.3089319528296102</v>
      </c>
      <c r="T24" s="41">
        <f t="shared" si="18"/>
        <v>1.6237553546778787</v>
      </c>
      <c r="U24" s="41">
        <f t="shared" si="19"/>
        <v>1.3939538001459488E-4</v>
      </c>
      <c r="V24" s="41">
        <f t="shared" si="20"/>
        <v>8.9209306423275223E-2</v>
      </c>
      <c r="W24" s="41">
        <f t="shared" si="21"/>
        <v>5.6594171345852553</v>
      </c>
      <c r="X24" s="41">
        <f t="shared" si="22"/>
        <v>11.867917395383325</v>
      </c>
    </row>
    <row r="25" spans="1:24">
      <c r="A25" s="41">
        <v>24</v>
      </c>
      <c r="B25" s="22">
        <f t="shared" si="0"/>
        <v>460</v>
      </c>
      <c r="C25" s="41">
        <f t="shared" si="1"/>
        <v>2.5709012356618724E-3</v>
      </c>
      <c r="D25" s="41">
        <f t="shared" si="2"/>
        <v>1.0923530605523285E-2</v>
      </c>
      <c r="E25" s="41">
        <f t="shared" si="3"/>
        <v>0.10137606430146143</v>
      </c>
      <c r="F25" s="41">
        <f t="shared" si="4"/>
        <v>0.16966806987656063</v>
      </c>
      <c r="G25" s="41">
        <f t="shared" si="5"/>
        <v>2</v>
      </c>
      <c r="H25" s="41">
        <f t="shared" si="6"/>
        <v>2.5709012356618725E-4</v>
      </c>
      <c r="I25" s="41">
        <f t="shared" si="7"/>
        <v>0.17606511674684494</v>
      </c>
      <c r="J25" s="41">
        <f t="shared" si="8"/>
        <v>12.537884528674031</v>
      </c>
      <c r="K25" s="41">
        <f t="shared" si="9"/>
        <v>70.105594060284972</v>
      </c>
      <c r="L25" s="41">
        <f t="shared" si="10"/>
        <v>2.5709012356618725E-4</v>
      </c>
      <c r="M25" s="41">
        <f t="shared" si="11"/>
        <v>0.17524765242274401</v>
      </c>
      <c r="N25" s="41">
        <f t="shared" si="12"/>
        <v>12.260414939372716</v>
      </c>
      <c r="O25" s="41">
        <f t="shared" si="13"/>
        <v>27.144547140223334</v>
      </c>
      <c r="P25" s="41">
        <f t="shared" si="14"/>
        <v>6.4272530891546813E-5</v>
      </c>
      <c r="Q25" s="41">
        <f t="shared" si="15"/>
        <v>4.3811913105686003E-2</v>
      </c>
      <c r="R25" s="41">
        <f t="shared" si="16"/>
        <v>3.0651037348431789</v>
      </c>
      <c r="S25" s="41">
        <f t="shared" si="17"/>
        <v>6.7861367850558336</v>
      </c>
      <c r="T25" s="41">
        <f t="shared" si="18"/>
        <v>1.603967630063116</v>
      </c>
      <c r="U25" s="41">
        <f t="shared" si="19"/>
        <v>1.0309105905227276E-4</v>
      </c>
      <c r="V25" s="41">
        <f t="shared" si="20"/>
        <v>7.0272890432658358E-2</v>
      </c>
      <c r="W25" s="41">
        <f t="shared" si="21"/>
        <v>4.916327173474019</v>
      </c>
      <c r="X25" s="41">
        <f t="shared" si="22"/>
        <v>10.884743736410138</v>
      </c>
    </row>
    <row r="26" spans="1:24">
      <c r="A26" s="41">
        <v>25</v>
      </c>
      <c r="B26" s="22">
        <f t="shared" si="0"/>
        <v>480</v>
      </c>
      <c r="C26" s="41">
        <f t="shared" si="1"/>
        <v>1.9247574978421187E-3</v>
      </c>
      <c r="D26" s="41">
        <f t="shared" si="2"/>
        <v>8.7076375215081516E-3</v>
      </c>
      <c r="E26" s="41">
        <f t="shared" si="3"/>
        <v>8.8899108679238711E-2</v>
      </c>
      <c r="F26" s="41">
        <f t="shared" si="4"/>
        <v>0.15202137294131832</v>
      </c>
      <c r="G26" s="41">
        <f t="shared" si="5"/>
        <v>2</v>
      </c>
      <c r="H26" s="41">
        <f t="shared" si="6"/>
        <v>1.9247574978421188E-4</v>
      </c>
      <c r="I26" s="41">
        <f t="shared" si="7"/>
        <v>0.14034942292726771</v>
      </c>
      <c r="J26" s="41">
        <f t="shared" si="8"/>
        <v>10.994772454450771</v>
      </c>
      <c r="K26" s="41">
        <f t="shared" si="9"/>
        <v>62.814109146552944</v>
      </c>
      <c r="L26" s="41">
        <f t="shared" si="10"/>
        <v>1.9247574978421188E-4</v>
      </c>
      <c r="M26" s="41">
        <f t="shared" si="11"/>
        <v>0.13973741163519385</v>
      </c>
      <c r="N26" s="41">
        <f t="shared" si="12"/>
        <v>10.773552438366625</v>
      </c>
      <c r="O26" s="41">
        <f t="shared" si="13"/>
        <v>25.127096611794784</v>
      </c>
      <c r="P26" s="41">
        <f t="shared" si="14"/>
        <v>4.811893744605297E-5</v>
      </c>
      <c r="Q26" s="41">
        <f t="shared" si="15"/>
        <v>3.4934352908798462E-2</v>
      </c>
      <c r="R26" s="41">
        <f t="shared" si="16"/>
        <v>2.6933881095916563</v>
      </c>
      <c r="S26" s="41">
        <f t="shared" si="17"/>
        <v>6.2817741529486959</v>
      </c>
      <c r="T26" s="41">
        <f t="shared" si="18"/>
        <v>1.5847490177226358</v>
      </c>
      <c r="U26" s="41">
        <f t="shared" si="19"/>
        <v>7.6256438851489406E-5</v>
      </c>
      <c r="V26" s="41">
        <f t="shared" si="20"/>
        <v>5.5362181456994265E-2</v>
      </c>
      <c r="W26" s="41">
        <f t="shared" si="21"/>
        <v>4.2683441610212043</v>
      </c>
      <c r="X26" s="41">
        <f t="shared" si="22"/>
        <v>9.9550354184408878</v>
      </c>
    </row>
    <row r="27" spans="1:24">
      <c r="A27" s="41">
        <v>26</v>
      </c>
      <c r="B27" s="22">
        <f t="shared" si="0"/>
        <v>500</v>
      </c>
      <c r="C27" s="41">
        <f t="shared" si="1"/>
        <v>1.4409714971892471E-3</v>
      </c>
      <c r="D27" s="41">
        <f t="shared" si="2"/>
        <v>6.9404317849578318E-3</v>
      </c>
      <c r="E27" s="41">
        <f t="shared" si="3"/>
        <v>7.7898542710201954E-2</v>
      </c>
      <c r="F27" s="41">
        <f t="shared" si="4"/>
        <v>0.13606305356137016</v>
      </c>
      <c r="G27" s="41">
        <f t="shared" si="5"/>
        <v>2</v>
      </c>
      <c r="H27" s="41">
        <f t="shared" si="6"/>
        <v>1.4409714971892472E-4</v>
      </c>
      <c r="I27" s="41">
        <f t="shared" si="7"/>
        <v>0.11186565741613322</v>
      </c>
      <c r="J27" s="41">
        <f t="shared" si="8"/>
        <v>9.6342557800245405</v>
      </c>
      <c r="K27" s="41">
        <f t="shared" si="9"/>
        <v>56.220249375831408</v>
      </c>
      <c r="L27" s="41">
        <f t="shared" si="10"/>
        <v>1.4409714971892472E-4</v>
      </c>
      <c r="M27" s="41">
        <f t="shared" si="11"/>
        <v>0.11140747459111494</v>
      </c>
      <c r="N27" s="41">
        <f t="shared" si="12"/>
        <v>9.4579048249420286</v>
      </c>
      <c r="O27" s="41">
        <f t="shared" si="13"/>
        <v>23.18607202199356</v>
      </c>
      <c r="P27" s="41">
        <f t="shared" si="14"/>
        <v>3.6024287429731179E-5</v>
      </c>
      <c r="Q27" s="41">
        <f t="shared" si="15"/>
        <v>2.7851868647778735E-2</v>
      </c>
      <c r="R27" s="41">
        <f t="shared" si="16"/>
        <v>2.3644762062355071</v>
      </c>
      <c r="S27" s="41">
        <f t="shared" si="17"/>
        <v>5.79651800549839</v>
      </c>
      <c r="T27" s="41">
        <f t="shared" si="18"/>
        <v>1.5660873489967677</v>
      </c>
      <c r="U27" s="41">
        <f t="shared" si="19"/>
        <v>5.6417180800325285E-5</v>
      </c>
      <c r="V27" s="41">
        <f t="shared" si="20"/>
        <v>4.3618459135205991E-2</v>
      </c>
      <c r="W27" s="41">
        <f t="shared" si="21"/>
        <v>3.7029762735893001</v>
      </c>
      <c r="X27" s="41">
        <f t="shared" si="22"/>
        <v>9.077853516643005</v>
      </c>
    </row>
    <row r="28" spans="1:24">
      <c r="A28" s="41">
        <v>27</v>
      </c>
      <c r="B28" s="22">
        <f t="shared" si="0"/>
        <v>520</v>
      </c>
      <c r="C28" s="41">
        <f t="shared" si="1"/>
        <v>1.0787405238441041E-3</v>
      </c>
      <c r="D28" s="41">
        <f t="shared" si="2"/>
        <v>5.5309180229949299E-3</v>
      </c>
      <c r="E28" s="41">
        <f t="shared" si="3"/>
        <v>6.8190444761616301E-2</v>
      </c>
      <c r="F28" s="41">
        <f t="shared" si="4"/>
        <v>0.12160977397219504</v>
      </c>
      <c r="G28" s="41">
        <f t="shared" si="5"/>
        <v>2</v>
      </c>
      <c r="H28" s="41">
        <f t="shared" si="6"/>
        <v>1.0787405238441041E-4</v>
      </c>
      <c r="I28" s="41">
        <f t="shared" si="7"/>
        <v>8.9147159705255552E-2</v>
      </c>
      <c r="J28" s="41">
        <f t="shared" si="8"/>
        <v>8.4335876350226879</v>
      </c>
      <c r="K28" s="41">
        <f t="shared" si="9"/>
        <v>50.248260937136415</v>
      </c>
      <c r="L28" s="41">
        <f t="shared" si="10"/>
        <v>1.0787405238441041E-4</v>
      </c>
      <c r="M28" s="41">
        <f t="shared" si="11"/>
        <v>8.8804154738369889E-2</v>
      </c>
      <c r="N28" s="41">
        <f t="shared" si="12"/>
        <v>8.2930309281732129</v>
      </c>
      <c r="O28" s="41">
        <f t="shared" si="13"/>
        <v>21.322565218390739</v>
      </c>
      <c r="P28" s="41">
        <f t="shared" si="14"/>
        <v>2.6968513096102603E-5</v>
      </c>
      <c r="Q28" s="41">
        <f t="shared" si="15"/>
        <v>2.2201038684592472E-2</v>
      </c>
      <c r="R28" s="41">
        <f t="shared" si="16"/>
        <v>2.0732577320433032</v>
      </c>
      <c r="S28" s="41">
        <f t="shared" si="17"/>
        <v>5.3306413045976848</v>
      </c>
      <c r="T28" s="41">
        <f t="shared" si="18"/>
        <v>1.5479682254465166</v>
      </c>
      <c r="U28" s="41">
        <f t="shared" si="19"/>
        <v>4.1746401360305088E-5</v>
      </c>
      <c r="V28" s="41">
        <f t="shared" si="20"/>
        <v>3.4366502455658074E-2</v>
      </c>
      <c r="W28" s="41">
        <f t="shared" si="21"/>
        <v>3.2093370923643416</v>
      </c>
      <c r="X28" s="41">
        <f t="shared" si="22"/>
        <v>8.2516633607699816</v>
      </c>
    </row>
    <row r="29" spans="1:24">
      <c r="A29" s="41">
        <v>28</v>
      </c>
      <c r="B29" s="22">
        <f t="shared" si="0"/>
        <v>540</v>
      </c>
      <c r="C29" s="41">
        <f t="shared" si="1"/>
        <v>8.0751594904531008E-4</v>
      </c>
      <c r="D29" s="41">
        <f t="shared" si="2"/>
        <v>4.4065530415103348E-3</v>
      </c>
      <c r="E29" s="41">
        <f t="shared" si="3"/>
        <v>5.9614012551348967E-2</v>
      </c>
      <c r="F29" s="41">
        <f t="shared" si="4"/>
        <v>0.10849885261690193</v>
      </c>
      <c r="G29" s="41">
        <f t="shared" si="5"/>
        <v>2</v>
      </c>
      <c r="H29" s="41">
        <f t="shared" si="6"/>
        <v>8.0751594904531019E-5</v>
      </c>
      <c r="I29" s="41">
        <f t="shared" si="7"/>
        <v>7.102468091336625E-2</v>
      </c>
      <c r="J29" s="41">
        <f t="shared" si="8"/>
        <v>7.3728804803182992</v>
      </c>
      <c r="K29" s="41">
        <f t="shared" si="9"/>
        <v>44.830925012002048</v>
      </c>
      <c r="L29" s="41">
        <f t="shared" si="10"/>
        <v>8.0751594904531019E-5</v>
      </c>
      <c r="M29" s="41">
        <f t="shared" si="11"/>
        <v>7.0767916682080212E-2</v>
      </c>
      <c r="N29" s="41">
        <f t="shared" si="12"/>
        <v>7.2608819355307999</v>
      </c>
      <c r="O29" s="41">
        <f t="shared" si="13"/>
        <v>19.536651245417421</v>
      </c>
      <c r="P29" s="41">
        <f t="shared" si="14"/>
        <v>2.0187898726132755E-5</v>
      </c>
      <c r="Q29" s="41">
        <f t="shared" si="15"/>
        <v>1.7691979170520053E-2</v>
      </c>
      <c r="R29" s="41">
        <f t="shared" si="16"/>
        <v>1.8152204838827</v>
      </c>
      <c r="S29" s="41">
        <f t="shared" si="17"/>
        <v>4.8841628113543551</v>
      </c>
      <c r="T29" s="41">
        <f t="shared" si="18"/>
        <v>1.5303757755335763</v>
      </c>
      <c r="U29" s="41">
        <f t="shared" si="19"/>
        <v>3.0895071169398711E-5</v>
      </c>
      <c r="V29" s="41">
        <f t="shared" si="20"/>
        <v>2.7075376343808504E-2</v>
      </c>
      <c r="W29" s="41">
        <f t="shared" si="21"/>
        <v>2.7779694557864207</v>
      </c>
      <c r="X29" s="41">
        <f t="shared" si="22"/>
        <v>7.4746044502586733</v>
      </c>
    </row>
    <row r="30" spans="1:24">
      <c r="A30" s="41">
        <v>29</v>
      </c>
      <c r="B30" s="22">
        <f t="shared" si="0"/>
        <v>560</v>
      </c>
      <c r="C30" s="41">
        <f t="shared" si="1"/>
        <v>6.0442655334049791E-4</v>
      </c>
      <c r="D30" s="41">
        <f t="shared" si="2"/>
        <v>3.5095101721625676E-3</v>
      </c>
      <c r="E30" s="41">
        <f t="shared" si="3"/>
        <v>5.2029134764034056E-2</v>
      </c>
      <c r="F30" s="41">
        <f t="shared" si="4"/>
        <v>9.6587160448796727E-2</v>
      </c>
      <c r="G30" s="41">
        <f t="shared" si="5"/>
        <v>2</v>
      </c>
      <c r="H30" s="41">
        <f t="shared" si="6"/>
        <v>6.0442655334049791E-5</v>
      </c>
      <c r="I30" s="41">
        <f t="shared" si="7"/>
        <v>5.656617265059076E-2</v>
      </c>
      <c r="J30" s="41">
        <f t="shared" si="8"/>
        <v>6.434805772873891</v>
      </c>
      <c r="K30" s="41">
        <f t="shared" si="9"/>
        <v>39.909101734847987</v>
      </c>
      <c r="L30" s="41">
        <f t="shared" si="10"/>
        <v>6.0442655334049791E-5</v>
      </c>
      <c r="M30" s="41">
        <f t="shared" si="11"/>
        <v>5.6373984348278186E-2</v>
      </c>
      <c r="N30" s="41">
        <f t="shared" si="12"/>
        <v>6.3455954498521381</v>
      </c>
      <c r="O30" s="41">
        <f t="shared" si="13"/>
        <v>17.827907971166432</v>
      </c>
      <c r="P30" s="41">
        <f t="shared" si="14"/>
        <v>1.5110663833512448E-5</v>
      </c>
      <c r="Q30" s="41">
        <f t="shared" si="15"/>
        <v>1.4093496087069547E-2</v>
      </c>
      <c r="R30" s="41">
        <f t="shared" si="16"/>
        <v>1.5863988624630345</v>
      </c>
      <c r="S30" s="41">
        <f t="shared" si="17"/>
        <v>4.4569769927916081</v>
      </c>
      <c r="T30" s="41">
        <f t="shared" si="18"/>
        <v>1.5132932235371388</v>
      </c>
      <c r="U30" s="41">
        <f t="shared" si="19"/>
        <v>2.2866865182402112E-5</v>
      </c>
      <c r="V30" s="41">
        <f t="shared" si="20"/>
        <v>2.1327592124509527E-2</v>
      </c>
      <c r="W30" s="41">
        <f t="shared" si="21"/>
        <v>2.4006866483923357</v>
      </c>
      <c r="X30" s="41">
        <f t="shared" si="22"/>
        <v>6.7447130806524758</v>
      </c>
    </row>
    <row r="31" spans="1:24">
      <c r="A31" s="41">
        <v>30</v>
      </c>
      <c r="B31" s="22">
        <f t="shared" si="0"/>
        <v>580</v>
      </c>
      <c r="C31" s="41">
        <f t="shared" si="1"/>
        <v>4.5234936393588111E-4</v>
      </c>
      <c r="D31" s="41">
        <f t="shared" si="2"/>
        <v>2.7937005615609424E-3</v>
      </c>
      <c r="E31" s="41">
        <f t="shared" si="3"/>
        <v>4.5314236615695995E-2</v>
      </c>
      <c r="F31" s="41">
        <f t="shared" si="4"/>
        <v>8.5750073243028829E-2</v>
      </c>
      <c r="G31" s="41">
        <f t="shared" si="5"/>
        <v>2</v>
      </c>
      <c r="H31" s="41">
        <f t="shared" si="6"/>
        <v>4.5234936393588111E-5</v>
      </c>
      <c r="I31" s="41">
        <f t="shared" si="7"/>
        <v>4.5028776252821305E-2</v>
      </c>
      <c r="J31" s="41">
        <f t="shared" si="8"/>
        <v>5.6043275117005971</v>
      </c>
      <c r="K31" s="41">
        <f t="shared" si="9"/>
        <v>35.431297295885429</v>
      </c>
      <c r="L31" s="41">
        <f t="shared" si="10"/>
        <v>4.5234936393588111E-5</v>
      </c>
      <c r="M31" s="41">
        <f t="shared" si="11"/>
        <v>4.488494363026934E-2</v>
      </c>
      <c r="N31" s="41">
        <f t="shared" si="12"/>
        <v>5.5333043378408924</v>
      </c>
      <c r="O31" s="41">
        <f t="shared" si="13"/>
        <v>16.195853938494576</v>
      </c>
      <c r="P31" s="41">
        <f t="shared" si="14"/>
        <v>1.1308734098397028E-5</v>
      </c>
      <c r="Q31" s="41">
        <f t="shared" si="15"/>
        <v>1.1221235907567335E-2</v>
      </c>
      <c r="R31" s="41">
        <f t="shared" si="16"/>
        <v>1.3833260844602231</v>
      </c>
      <c r="S31" s="41">
        <f t="shared" si="17"/>
        <v>4.048963484623644</v>
      </c>
      <c r="T31" s="41">
        <f t="shared" si="18"/>
        <v>1.4967033157876271</v>
      </c>
      <c r="U31" s="41">
        <f t="shared" si="19"/>
        <v>1.6925819822431433E-5</v>
      </c>
      <c r="V31" s="41">
        <f t="shared" si="20"/>
        <v>1.6794860990091212E-2</v>
      </c>
      <c r="W31" s="41">
        <f t="shared" si="21"/>
        <v>2.0704287374271311</v>
      </c>
      <c r="X31" s="41">
        <f t="shared" si="22"/>
        <v>6.0600970729392323</v>
      </c>
    </row>
    <row r="32" spans="1:24">
      <c r="A32" s="41">
        <v>31</v>
      </c>
      <c r="B32" s="22">
        <f t="shared" si="0"/>
        <v>600</v>
      </c>
      <c r="C32" s="41">
        <f t="shared" si="1"/>
        <v>3.3846526400356243E-4</v>
      </c>
      <c r="D32" s="41">
        <f t="shared" si="2"/>
        <v>2.2223975446744567E-3</v>
      </c>
      <c r="E32" s="41">
        <f t="shared" si="3"/>
        <v>3.9364327861568245E-2</v>
      </c>
      <c r="F32" s="41">
        <f t="shared" si="4"/>
        <v>7.5880374275495599E-2</v>
      </c>
      <c r="G32" s="41">
        <f t="shared" si="5"/>
        <v>2</v>
      </c>
      <c r="H32" s="41">
        <f t="shared" si="6"/>
        <v>3.3846526400356241E-5</v>
      </c>
      <c r="I32" s="41">
        <f t="shared" si="7"/>
        <v>3.5820532508341468E-2</v>
      </c>
      <c r="J32" s="41">
        <f t="shared" si="8"/>
        <v>4.868460821378461</v>
      </c>
      <c r="K32" s="41">
        <f t="shared" si="9"/>
        <v>31.353210536140388</v>
      </c>
      <c r="L32" s="41">
        <f t="shared" si="10"/>
        <v>3.3846526400356241E-5</v>
      </c>
      <c r="M32" s="41">
        <f t="shared" si="11"/>
        <v>3.5712911385276783E-2</v>
      </c>
      <c r="N32" s="41">
        <f t="shared" si="12"/>
        <v>4.8119553976162353</v>
      </c>
      <c r="O32" s="41">
        <f t="shared" si="13"/>
        <v>14.640288850701889</v>
      </c>
      <c r="P32" s="41">
        <f t="shared" si="14"/>
        <v>8.4616316000890603E-6</v>
      </c>
      <c r="Q32" s="41">
        <f t="shared" si="15"/>
        <v>8.9282278463191957E-3</v>
      </c>
      <c r="R32" s="41">
        <f t="shared" si="16"/>
        <v>1.2029888494040588</v>
      </c>
      <c r="S32" s="41">
        <f t="shared" si="17"/>
        <v>3.6600722126754723</v>
      </c>
      <c r="T32" s="41">
        <f t="shared" si="18"/>
        <v>1.4805886382764151</v>
      </c>
      <c r="U32" s="41">
        <f t="shared" si="19"/>
        <v>1.2528195608372545E-5</v>
      </c>
      <c r="V32" s="41">
        <f t="shared" si="20"/>
        <v>1.3219032709203308E-2</v>
      </c>
      <c r="W32" s="41">
        <f t="shared" si="21"/>
        <v>1.7811316224008669</v>
      </c>
      <c r="X32" s="41">
        <f t="shared" si="22"/>
        <v>5.4190613333585231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56B23"/>
  </sheetPr>
  <dimension ref="B2:G41"/>
  <sheetViews>
    <sheetView showGridLines="0" workbookViewId="0">
      <selection activeCell="I6" sqref="I6"/>
    </sheetView>
  </sheetViews>
  <sheetFormatPr defaultRowHeight="15"/>
  <cols>
    <col min="1" max="1" width="2" customWidth="1"/>
    <col min="2" max="2" width="34" customWidth="1"/>
    <col min="3" max="3" width="14" customWidth="1"/>
    <col min="4" max="4" width="16" customWidth="1"/>
    <col min="5" max="6" width="14" customWidth="1"/>
    <col min="7" max="7" width="22" customWidth="1"/>
  </cols>
  <sheetData>
    <row r="2" spans="2:7" ht="17.25">
      <c r="B2" s="44" t="s">
        <v>145</v>
      </c>
      <c r="C2" s="45"/>
      <c r="D2" s="45"/>
      <c r="E2" s="45"/>
      <c r="F2" s="45"/>
      <c r="G2" s="45"/>
    </row>
    <row r="4" spans="2:7">
      <c r="B4" s="47" t="s">
        <v>8</v>
      </c>
      <c r="C4" s="45"/>
      <c r="D4" s="45"/>
    </row>
    <row r="5" spans="2:7">
      <c r="B5" s="7" t="s">
        <v>9</v>
      </c>
      <c r="C5" s="8">
        <v>111.7</v>
      </c>
      <c r="D5" s="9" t="s">
        <v>10</v>
      </c>
    </row>
    <row r="6" spans="2:7">
      <c r="B6" s="7" t="s">
        <v>11</v>
      </c>
      <c r="C6" s="8">
        <v>16.399999999999999</v>
      </c>
      <c r="D6" s="9" t="s">
        <v>12</v>
      </c>
    </row>
    <row r="7" spans="2:7">
      <c r="B7" s="7" t="s">
        <v>13</v>
      </c>
      <c r="C7" s="8">
        <v>1.64</v>
      </c>
      <c r="D7" s="9" t="s">
        <v>12</v>
      </c>
    </row>
    <row r="8" spans="2:7">
      <c r="B8" s="7" t="s">
        <v>14</v>
      </c>
      <c r="C8" s="8">
        <v>0</v>
      </c>
      <c r="D8" s="9" t="s">
        <v>12</v>
      </c>
    </row>
    <row r="9" spans="2:7">
      <c r="B9" s="7" t="s">
        <v>15</v>
      </c>
      <c r="C9" s="8">
        <v>5.3</v>
      </c>
      <c r="D9" s="9" t="s">
        <v>16</v>
      </c>
    </row>
    <row r="10" spans="2:7">
      <c r="B10" s="7" t="s">
        <v>17</v>
      </c>
      <c r="C10" s="8">
        <v>0.25</v>
      </c>
      <c r="D10" s="9" t="s">
        <v>16</v>
      </c>
    </row>
    <row r="12" spans="2:7">
      <c r="B12" s="47" t="s">
        <v>18</v>
      </c>
      <c r="C12" s="45"/>
      <c r="D12" s="45"/>
    </row>
    <row r="13" spans="2:7">
      <c r="B13" s="7" t="s">
        <v>19</v>
      </c>
      <c r="C13" s="10">
        <v>1</v>
      </c>
      <c r="D13" s="9" t="s">
        <v>16</v>
      </c>
    </row>
    <row r="14" spans="2:7">
      <c r="B14" s="7" t="s">
        <v>20</v>
      </c>
      <c r="C14" s="8">
        <v>33</v>
      </c>
      <c r="D14" s="9" t="s">
        <v>21</v>
      </c>
    </row>
    <row r="16" spans="2:7">
      <c r="B16" s="47" t="s">
        <v>22</v>
      </c>
      <c r="C16" s="45"/>
      <c r="D16" s="45"/>
      <c r="E16" s="45"/>
    </row>
    <row r="17" spans="2:7">
      <c r="B17" s="7" t="s">
        <v>23</v>
      </c>
      <c r="C17" s="8">
        <v>100</v>
      </c>
      <c r="D17" s="9" t="s">
        <v>12</v>
      </c>
    </row>
    <row r="18" spans="2:7">
      <c r="B18" s="7" t="s">
        <v>24</v>
      </c>
      <c r="C18" s="8">
        <v>10</v>
      </c>
      <c r="D18" s="9" t="s">
        <v>12</v>
      </c>
    </row>
    <row r="20" spans="2:7">
      <c r="B20" s="47" t="s">
        <v>25</v>
      </c>
      <c r="C20" s="45"/>
      <c r="D20" s="45"/>
      <c r="E20" s="45"/>
      <c r="F20" s="45"/>
    </row>
    <row r="21" spans="2:7" ht="30" customHeight="1">
      <c r="B21" s="11" t="s">
        <v>26</v>
      </c>
      <c r="C21" s="11" t="s">
        <v>27</v>
      </c>
      <c r="D21" s="11" t="s">
        <v>28</v>
      </c>
      <c r="E21" s="11" t="s">
        <v>29</v>
      </c>
      <c r="F21" s="11" t="s">
        <v>30</v>
      </c>
    </row>
    <row r="22" spans="2:7">
      <c r="B22" s="12" t="s">
        <v>31</v>
      </c>
      <c r="C22" s="13">
        <v>0.1</v>
      </c>
      <c r="D22" s="13">
        <v>2</v>
      </c>
      <c r="E22" s="13">
        <v>5.3</v>
      </c>
      <c r="F22" s="14" t="s">
        <v>32</v>
      </c>
    </row>
    <row r="23" spans="2:7">
      <c r="B23" s="12" t="s">
        <v>33</v>
      </c>
      <c r="C23" s="13">
        <v>15.8</v>
      </c>
      <c r="D23" s="13">
        <v>1.5</v>
      </c>
      <c r="E23" s="13">
        <v>5.3</v>
      </c>
      <c r="F23" s="15">
        <v>0.79491999999999996</v>
      </c>
    </row>
    <row r="24" spans="2:7">
      <c r="B24" s="12" t="s">
        <v>34</v>
      </c>
      <c r="C24" s="13">
        <v>98.5</v>
      </c>
      <c r="D24" s="13">
        <v>0.8</v>
      </c>
      <c r="E24" s="13">
        <v>5.3</v>
      </c>
      <c r="F24" s="15">
        <v>0.73743999999999998</v>
      </c>
    </row>
    <row r="25" spans="2:7">
      <c r="B25" s="12" t="s">
        <v>35</v>
      </c>
      <c r="C25" s="13">
        <v>3.1</v>
      </c>
      <c r="D25" s="13">
        <v>0.65</v>
      </c>
      <c r="E25" s="13">
        <v>5.3</v>
      </c>
      <c r="F25" s="15">
        <v>0.64498999999999995</v>
      </c>
    </row>
    <row r="27" spans="2:7">
      <c r="B27" s="16" t="s">
        <v>36</v>
      </c>
      <c r="C27" s="48" t="str">
        <f>IF(AND(Ri_1=Ri_2,Ri_2=Ri_3,Ri_3=Ri_4),"OK: equal R","NOTE: Rᵢ differ – engine uses R (engine)")</f>
        <v>OK: equal R</v>
      </c>
      <c r="D27" s="45"/>
      <c r="E27" s="45"/>
      <c r="F27" s="45"/>
    </row>
    <row r="28" spans="2:7">
      <c r="B28" s="46" t="s">
        <v>37</v>
      </c>
      <c r="C28" s="45"/>
      <c r="D28" s="45"/>
      <c r="E28" s="45"/>
      <c r="F28" s="45"/>
      <c r="G28" s="45"/>
    </row>
    <row r="30" spans="2:7">
      <c r="B30" s="47" t="s">
        <v>38</v>
      </c>
      <c r="C30" s="45"/>
      <c r="D30" s="45"/>
      <c r="E30" s="45"/>
    </row>
    <row r="31" spans="2:7">
      <c r="B31" s="7" t="s">
        <v>39</v>
      </c>
      <c r="C31" s="8">
        <v>0</v>
      </c>
      <c r="D31" s="9" t="s">
        <v>12</v>
      </c>
    </row>
    <row r="32" spans="2:7">
      <c r="B32" s="7" t="s">
        <v>40</v>
      </c>
      <c r="C32" s="8">
        <v>600</v>
      </c>
      <c r="D32" s="9" t="s">
        <v>12</v>
      </c>
    </row>
    <row r="33" spans="2:5">
      <c r="B33" s="7" t="s">
        <v>41</v>
      </c>
      <c r="C33" s="8">
        <v>150</v>
      </c>
      <c r="D33" s="9" t="s">
        <v>12</v>
      </c>
    </row>
    <row r="35" spans="2:5">
      <c r="B35" s="47" t="s">
        <v>42</v>
      </c>
      <c r="C35" s="45"/>
      <c r="D35" s="45"/>
      <c r="E35" s="45"/>
    </row>
    <row r="36" spans="2:5">
      <c r="C36" s="18" t="s">
        <v>43</v>
      </c>
      <c r="D36" s="18" t="s">
        <v>44</v>
      </c>
    </row>
    <row r="37" spans="2:5">
      <c r="B37" s="7" t="s">
        <v>45</v>
      </c>
      <c r="C37" s="19">
        <v>200</v>
      </c>
      <c r="D37" s="19">
        <v>0</v>
      </c>
    </row>
    <row r="38" spans="2:5">
      <c r="B38" s="7" t="s">
        <v>46</v>
      </c>
      <c r="C38" s="19">
        <v>350</v>
      </c>
      <c r="D38" s="19">
        <v>0</v>
      </c>
    </row>
    <row r="39" spans="2:5">
      <c r="B39" s="7" t="s">
        <v>47</v>
      </c>
      <c r="C39" s="19">
        <v>500</v>
      </c>
      <c r="D39" s="19">
        <v>0</v>
      </c>
    </row>
    <row r="41" spans="2:5">
      <c r="B41" s="7" t="s">
        <v>48</v>
      </c>
      <c r="C41" s="8">
        <v>60</v>
      </c>
      <c r="D41" s="9" t="s">
        <v>21</v>
      </c>
    </row>
  </sheetData>
  <mergeCells count="9">
    <mergeCell ref="B2:G2"/>
    <mergeCell ref="B28:G28"/>
    <mergeCell ref="B35:E35"/>
    <mergeCell ref="B20:F20"/>
    <mergeCell ref="C27:F27"/>
    <mergeCell ref="B4:D4"/>
    <mergeCell ref="B16:E16"/>
    <mergeCell ref="B30:E30"/>
    <mergeCell ref="B12:D12"/>
  </mergeCells>
  <conditionalFormatting sqref="C27:F27">
    <cfRule type="expression" dxfId="0" priority="1">
      <formula>NOT(AND(Ri_1=Ri_2,Ri_2=Ri_3,Ri_3=Ri_4))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1652F"/>
  </sheetPr>
  <dimension ref="B2:G36"/>
  <sheetViews>
    <sheetView showGridLines="0" workbookViewId="0">
      <selection activeCell="T19" sqref="T19"/>
    </sheetView>
  </sheetViews>
  <sheetFormatPr defaultRowHeight="15"/>
  <cols>
    <col min="2" max="2" width="10" customWidth="1"/>
    <col min="3" max="6" width="12" customWidth="1"/>
  </cols>
  <sheetData>
    <row r="2" spans="2:7" ht="16.5">
      <c r="B2" s="49" t="s">
        <v>49</v>
      </c>
      <c r="C2" s="45"/>
      <c r="D2" s="45"/>
      <c r="E2" s="45"/>
      <c r="F2" s="45"/>
      <c r="G2" s="45"/>
    </row>
    <row r="3" spans="2:7">
      <c r="B3" s="20" t="str">
        <f>IF(mode=1,"Transient snapshot at t = "&amp;t_sim&amp;" yr","Steady-state maximum")</f>
        <v>Transient snapshot at t = 33 yr</v>
      </c>
    </row>
    <row r="5" spans="2:7">
      <c r="B5" s="21" t="s">
        <v>43</v>
      </c>
      <c r="C5" s="21" t="s">
        <v>31</v>
      </c>
      <c r="D5" s="21" t="s">
        <v>33</v>
      </c>
      <c r="E5" s="21" t="s">
        <v>34</v>
      </c>
      <c r="F5" s="21" t="s">
        <v>35</v>
      </c>
    </row>
    <row r="6" spans="2:7">
      <c r="B6" s="22">
        <f>Calc_x!B2</f>
        <v>0</v>
      </c>
      <c r="C6" s="23">
        <f>Calc_x!U2</f>
        <v>0.1</v>
      </c>
      <c r="D6" s="23">
        <f>Calc_x!V2</f>
        <v>15.8</v>
      </c>
      <c r="E6" s="23">
        <f>Calc_x!W2</f>
        <v>98.5</v>
      </c>
      <c r="F6" s="23">
        <f>Calc_x!X2</f>
        <v>3.1</v>
      </c>
    </row>
    <row r="7" spans="2:7">
      <c r="B7" s="22">
        <f>Calc_x!B3</f>
        <v>20</v>
      </c>
      <c r="C7" s="23">
        <f>Calc_x!U3</f>
        <v>7.4869990391071478E-2</v>
      </c>
      <c r="D7" s="23">
        <f>Calc_x!V3</f>
        <v>12.613023509640826</v>
      </c>
      <c r="E7" s="23">
        <f>Calc_x!W3</f>
        <v>88.567255207444447</v>
      </c>
      <c r="F7" s="23">
        <f>Calc_x!X3</f>
        <v>9.740633843841195</v>
      </c>
    </row>
    <row r="8" spans="2:7">
      <c r="B8" s="22">
        <f>Calc_x!B4</f>
        <v>40</v>
      </c>
      <c r="C8" s="23">
        <f>Calc_x!U4</f>
        <v>5.6054442714892412E-2</v>
      </c>
      <c r="D8" s="23">
        <f>Calc_x!V4</f>
        <v>10.06798921438218</v>
      </c>
      <c r="E8" s="23">
        <f>Calc_x!W4</f>
        <v>79.430138902458708</v>
      </c>
      <c r="F8" s="23">
        <f>Calc_x!X4</f>
        <v>14.987425135430431</v>
      </c>
    </row>
    <row r="9" spans="2:7">
      <c r="B9" s="22">
        <f>Calc_x!B5</f>
        <v>60</v>
      </c>
      <c r="C9" s="23">
        <f>Calc_x!U5</f>
        <v>4.1953169607941598E-2</v>
      </c>
      <c r="D9" s="23">
        <f>Calc_x!V5</f>
        <v>8.0331851359359341</v>
      </c>
      <c r="E9" s="23">
        <f>Calc_x!W5</f>
        <v>71.051564493554778</v>
      </c>
      <c r="F9" s="23">
        <f>Calc_x!X5</f>
        <v>19.037617263175637</v>
      </c>
    </row>
    <row r="10" spans="2:7">
      <c r="B10" s="22">
        <f>Calc_x!B6</f>
        <v>80</v>
      </c>
      <c r="C10" s="23">
        <f>Calc_x!U6</f>
        <v>3.1358198902891488E-2</v>
      </c>
      <c r="D10" s="23">
        <f>Calc_x!V6</f>
        <v>6.4008165043226484</v>
      </c>
      <c r="E10" s="23">
        <f>Calc_x!W6</f>
        <v>63.348776834286618</v>
      </c>
      <c r="F10" s="23">
        <f>Calc_x!X6</f>
        <v>22.047264601905955</v>
      </c>
    </row>
    <row r="11" spans="2:7">
      <c r="B11" s="22">
        <f>Calc_x!B7</f>
        <v>100</v>
      </c>
      <c r="C11" s="23">
        <f>Calc_x!U7</f>
        <v>2.3389848500242044E-2</v>
      </c>
      <c r="D11" s="23">
        <f>Calc_x!V7</f>
        <v>5.0891557435209966</v>
      </c>
      <c r="E11" s="23">
        <f>Calc_x!W7</f>
        <v>56.265285242908327</v>
      </c>
      <c r="F11" s="23">
        <f>Calc_x!X7</f>
        <v>24.148783625584453</v>
      </c>
    </row>
    <row r="12" spans="2:7">
      <c r="B12" s="22">
        <f>Calc_x!B8</f>
        <v>120</v>
      </c>
      <c r="C12" s="23">
        <f>Calc_x!U8</f>
        <v>1.7406980033622527E-2</v>
      </c>
      <c r="D12" s="23">
        <f>Calc_x!V8</f>
        <v>4.0369217828755009</v>
      </c>
      <c r="E12" s="23">
        <f>Calc_x!W8</f>
        <v>49.785017524925244</v>
      </c>
      <c r="F12" s="23">
        <f>Calc_x!X8</f>
        <v>25.47208467875091</v>
      </c>
    </row>
    <row r="13" spans="2:7">
      <c r="B13" s="22">
        <f>Calc_x!B9</f>
        <v>140</v>
      </c>
      <c r="C13" s="23">
        <f>Calc_x!U9</f>
        <v>1.2928353000415995E-2</v>
      </c>
      <c r="D13" s="23">
        <f>Calc_x!V9</f>
        <v>3.1956173988099335</v>
      </c>
      <c r="E13" s="23">
        <f>Calc_x!W9</f>
        <v>43.902869501051335</v>
      </c>
      <c r="F13" s="23">
        <f>Calc_x!X9</f>
        <v>26.146164839661193</v>
      </c>
    </row>
    <row r="14" spans="2:7">
      <c r="B14" s="22">
        <f>Calc_x!B10</f>
        <v>160</v>
      </c>
      <c r="C14" s="23">
        <f>Calc_x!U10</f>
        <v>9.5863234171252535E-3</v>
      </c>
      <c r="D14" s="23">
        <f>Calc_x!V10</f>
        <v>2.525375238974497</v>
      </c>
      <c r="E14" s="23">
        <f>Calc_x!W10</f>
        <v>38.605988493060799</v>
      </c>
      <c r="F14" s="23">
        <f>Calc_x!X10</f>
        <v>26.293031223652111</v>
      </c>
    </row>
    <row r="15" spans="2:7">
      <c r="B15" s="22">
        <f>Calc_x!B11</f>
        <v>180</v>
      </c>
      <c r="C15" s="23">
        <f>Calc_x!U11</f>
        <v>7.099317905530738E-3</v>
      </c>
      <c r="D15" s="23">
        <f>Calc_x!V11</f>
        <v>1.9931120792987396</v>
      </c>
      <c r="E15" s="23">
        <f>Calc_x!W11</f>
        <v>33.86944167477143</v>
      </c>
      <c r="F15" s="23">
        <f>Calc_x!X11</f>
        <v>26.02264726727579</v>
      </c>
    </row>
    <row r="16" spans="2:7">
      <c r="B16" s="22">
        <f>Calc_x!B12</f>
        <v>200</v>
      </c>
      <c r="C16" s="23">
        <f>Calc_x!U12</f>
        <v>5.2526880456565629E-3</v>
      </c>
      <c r="D16" s="23">
        <f>Calc_x!V12</f>
        <v>1.5715140053128296</v>
      </c>
      <c r="E16" s="23">
        <f>Calc_x!W12</f>
        <v>29.658415394580842</v>
      </c>
      <c r="F16" s="23">
        <f>Calc_x!X12</f>
        <v>25.430587563389199</v>
      </c>
    </row>
    <row r="17" spans="2:6">
      <c r="B17" s="22">
        <f>Calc_x!B13</f>
        <v>220</v>
      </c>
      <c r="C17" s="23">
        <f>Calc_x!U13</f>
        <v>3.8838712370337296E-3</v>
      </c>
      <c r="D17" s="23">
        <f>Calc_x!V13</f>
        <v>1.2382391409963469</v>
      </c>
      <c r="E17" s="23">
        <f>Calc_x!W13</f>
        <v>25.932003815047413</v>
      </c>
      <c r="F17" s="23">
        <f>Calc_x!X13</f>
        <v>24.597759538768589</v>
      </c>
    </row>
    <row r="18" spans="2:6">
      <c r="B18" s="22">
        <f>Calc_x!B14</f>
        <v>240</v>
      </c>
      <c r="C18" s="23">
        <f>Calc_x!U14</f>
        <v>2.8705094249468041E-3</v>
      </c>
      <c r="D18" s="23">
        <f>Calc_x!V14</f>
        <v>0.97517907587485231</v>
      </c>
      <c r="E18" s="23">
        <f>Calc_x!W14</f>
        <v>22.6466265571073</v>
      </c>
      <c r="F18" s="23">
        <f>Calc_x!X14</f>
        <v>23.591308261720883</v>
      </c>
    </row>
    <row r="19" spans="2:6">
      <c r="B19" s="22">
        <f>Calc_x!B15</f>
        <v>260</v>
      </c>
      <c r="C19" s="23">
        <f>Calc_x!U15</f>
        <v>2.1209759182335966E-3</v>
      </c>
      <c r="D19" s="23">
        <f>Calc_x!V15</f>
        <v>0.76776886075292072</v>
      </c>
      <c r="E19" s="23">
        <f>Calc_x!W15</f>
        <v>19.758563349057624</v>
      </c>
      <c r="F19" s="23">
        <f>Calc_x!X15</f>
        <v>22.466068643683936</v>
      </c>
    </row>
    <row r="20" spans="2:6">
      <c r="B20" s="22">
        <f>Calc_x!B16</f>
        <v>280</v>
      </c>
      <c r="C20" s="23">
        <f>Calc_x!U16</f>
        <v>1.5669311736100932E-3</v>
      </c>
      <c r="D20" s="23">
        <f>Calc_x!V16</f>
        <v>0.6043640649891322</v>
      </c>
      <c r="E20" s="23">
        <f>Calc_x!W16</f>
        <v>17.225636954101141</v>
      </c>
      <c r="F20" s="23">
        <f>Calc_x!X16</f>
        <v>21.26618579723155</v>
      </c>
    </row>
    <row r="21" spans="2:6">
      <c r="B21" s="22">
        <f>Calc_x!B17</f>
        <v>300</v>
      </c>
      <c r="C21" s="23">
        <f>Calc_x!U17</f>
        <v>1.1575590525865159E-3</v>
      </c>
      <c r="D21" s="23">
        <f>Calc_x!V17</f>
        <v>0.47569789150547154</v>
      </c>
      <c r="E21" s="23">
        <f>Calc_x!W17</f>
        <v>15.008226886989432</v>
      </c>
      <c r="F21" s="23">
        <f>Calc_x!X17</f>
        <v>20.026700666088441</v>
      </c>
    </row>
    <row r="22" spans="2:6">
      <c r="B22" s="22">
        <f>Calc_x!B18</f>
        <v>320</v>
      </c>
      <c r="C22" s="23">
        <f>Calc_x!U18</f>
        <v>8.5515897898160071E-4</v>
      </c>
      <c r="D22" s="23">
        <f>Calc_x!V18</f>
        <v>0.37442111413592061</v>
      </c>
      <c r="E22" s="23">
        <f>Calc_x!W18</f>
        <v>13.069803778712926</v>
      </c>
      <c r="F22" s="23">
        <f>Calc_x!X18</f>
        <v>18.775004315770904</v>
      </c>
    </row>
    <row r="23" spans="2:6">
      <c r="B23" s="22">
        <f>Calc_x!B19</f>
        <v>340</v>
      </c>
      <c r="C23" s="23">
        <f>Calc_x!U19</f>
        <v>6.3180720853828881E-4</v>
      </c>
      <c r="D23" s="23">
        <f>Calc_x!V19</f>
        <v>0.29472020017615652</v>
      </c>
      <c r="E23" s="23">
        <f>Calc_x!W19</f>
        <v>11.377139360945838</v>
      </c>
      <c r="F23" s="23">
        <f>Calc_x!X19</f>
        <v>17.532124175656264</v>
      </c>
    </row>
    <row r="24" spans="2:6">
      <c r="B24" s="22">
        <f>Calc_x!B20</f>
        <v>360</v>
      </c>
      <c r="C24" s="23">
        <f>Calc_x!U20</f>
        <v>4.6684613513080811E-4</v>
      </c>
      <c r="D24" s="23">
        <f>Calc_x!V20</f>
        <v>0.23200507683234903</v>
      </c>
      <c r="E24" s="23">
        <f>Calc_x!W20</f>
        <v>9.9003070137533236</v>
      </c>
      <c r="F24" s="23">
        <f>Calc_x!X20</f>
        <v>16.3138375909971</v>
      </c>
    </row>
    <row r="25" spans="2:6">
      <c r="B25" s="22">
        <f>Calc_x!B21</f>
        <v>380</v>
      </c>
      <c r="C25" s="23">
        <f>Calc_x!U21</f>
        <v>3.4500641737383788E-4</v>
      </c>
      <c r="D25" s="23">
        <f>Calc_x!V21</f>
        <v>0.18265662239366284</v>
      </c>
      <c r="E25" s="23">
        <f>Calc_x!W21</f>
        <v>8.612554023978408</v>
      </c>
      <c r="F25" s="23">
        <f>Calc_x!X21</f>
        <v>15.131624123040673</v>
      </c>
    </row>
    <row r="26" spans="2:6">
      <c r="B26" s="22">
        <f>Calc_x!B22</f>
        <v>400</v>
      </c>
      <c r="C26" s="23">
        <f>Calc_x!U22</f>
        <v>2.5500800664613469E-4</v>
      </c>
      <c r="D26" s="23">
        <f>Calc_x!V22</f>
        <v>0.14382408178471454</v>
      </c>
      <c r="E26" s="23">
        <f>Calc_x!W22</f>
        <v>7.490101099829781</v>
      </c>
      <c r="F26" s="23">
        <f>Calc_x!X22</f>
        <v>13.993475125297998</v>
      </c>
    </row>
    <row r="27" spans="2:6">
      <c r="B27" s="22">
        <f>Calc_x!B23</f>
        <v>420</v>
      </c>
      <c r="C27" s="23">
        <f>Calc_x!U23</f>
        <v>1.88520993920063E-4</v>
      </c>
      <c r="D27" s="23">
        <f>Calc_x!V23</f>
        <v>0.11326348271868213</v>
      </c>
      <c r="E27" s="23">
        <f>Calc_x!W23</f>
        <v>6.5119062440805981</v>
      </c>
      <c r="F27" s="23">
        <f>Calc_x!X23</f>
        <v>12.904581198492089</v>
      </c>
    </row>
    <row r="28" spans="2:6">
      <c r="B28" s="22">
        <f>Calc_x!B24</f>
        <v>440</v>
      </c>
      <c r="C28" s="23">
        <f>Calc_x!U24</f>
        <v>1.3939538001459488E-4</v>
      </c>
      <c r="D28" s="23">
        <f>Calc_x!V24</f>
        <v>8.9209306423275223E-2</v>
      </c>
      <c r="E28" s="23">
        <f>Calc_x!W24</f>
        <v>5.6594171345852553</v>
      </c>
      <c r="F28" s="23">
        <f>Calc_x!X24</f>
        <v>11.867917395383325</v>
      </c>
    </row>
    <row r="29" spans="2:6">
      <c r="B29" s="22">
        <f>Calc_x!B25</f>
        <v>460</v>
      </c>
      <c r="C29" s="23">
        <f>Calc_x!U25</f>
        <v>1.0309105905227276E-4</v>
      </c>
      <c r="D29" s="23">
        <f>Calc_x!V25</f>
        <v>7.0272890432658358E-2</v>
      </c>
      <c r="E29" s="23">
        <f>Calc_x!W25</f>
        <v>4.916327173474019</v>
      </c>
      <c r="F29" s="23">
        <f>Calc_x!X25</f>
        <v>10.884743736410138</v>
      </c>
    </row>
    <row r="30" spans="2:6">
      <c r="B30" s="22">
        <f>Calc_x!B26</f>
        <v>480</v>
      </c>
      <c r="C30" s="23">
        <f>Calc_x!U26</f>
        <v>7.6256438851489406E-5</v>
      </c>
      <c r="D30" s="23">
        <f>Calc_x!V26</f>
        <v>5.5362181456994265E-2</v>
      </c>
      <c r="E30" s="23">
        <f>Calc_x!W26</f>
        <v>4.2683441610212043</v>
      </c>
      <c r="F30" s="23">
        <f>Calc_x!X26</f>
        <v>9.9550354184408878</v>
      </c>
    </row>
    <row r="31" spans="2:6">
      <c r="B31" s="22">
        <f>Calc_x!B27</f>
        <v>500</v>
      </c>
      <c r="C31" s="23">
        <f>Calc_x!U27</f>
        <v>5.6417180800325285E-5</v>
      </c>
      <c r="D31" s="23">
        <f>Calc_x!V27</f>
        <v>4.3618459135205991E-2</v>
      </c>
      <c r="E31" s="23">
        <f>Calc_x!W27</f>
        <v>3.7029762735893001</v>
      </c>
      <c r="F31" s="23">
        <f>Calc_x!X27</f>
        <v>9.077853516643005</v>
      </c>
    </row>
    <row r="32" spans="2:6">
      <c r="B32" s="22">
        <f>Calc_x!B28</f>
        <v>520</v>
      </c>
      <c r="C32" s="23">
        <f>Calc_x!U28</f>
        <v>4.1746401360305088E-5</v>
      </c>
      <c r="D32" s="23">
        <f>Calc_x!V28</f>
        <v>3.4366502455658074E-2</v>
      </c>
      <c r="E32" s="23">
        <f>Calc_x!W28</f>
        <v>3.2093370923643416</v>
      </c>
      <c r="F32" s="23">
        <f>Calc_x!X28</f>
        <v>8.2516633607699816</v>
      </c>
    </row>
    <row r="33" spans="2:6">
      <c r="B33" s="22">
        <f>Calc_x!B29</f>
        <v>540</v>
      </c>
      <c r="C33" s="23">
        <f>Calc_x!U29</f>
        <v>3.0895071169398711E-5</v>
      </c>
      <c r="D33" s="23">
        <f>Calc_x!V29</f>
        <v>2.7075376343808504E-2</v>
      </c>
      <c r="E33" s="23">
        <f>Calc_x!W29</f>
        <v>2.7779694557864207</v>
      </c>
      <c r="F33" s="23">
        <f>Calc_x!X29</f>
        <v>7.4746044502586733</v>
      </c>
    </row>
    <row r="34" spans="2:6">
      <c r="B34" s="22">
        <f>Calc_x!B30</f>
        <v>560</v>
      </c>
      <c r="C34" s="23">
        <f>Calc_x!U30</f>
        <v>2.2866865182402112E-5</v>
      </c>
      <c r="D34" s="23">
        <f>Calc_x!V30</f>
        <v>2.1327592124509527E-2</v>
      </c>
      <c r="E34" s="23">
        <f>Calc_x!W30</f>
        <v>2.4006866483923357</v>
      </c>
      <c r="F34" s="23">
        <f>Calc_x!X30</f>
        <v>6.7447130806524758</v>
      </c>
    </row>
    <row r="35" spans="2:6">
      <c r="B35" s="22">
        <f>Calc_x!B31</f>
        <v>580</v>
      </c>
      <c r="C35" s="23">
        <f>Calc_x!U31</f>
        <v>1.6925819822431433E-5</v>
      </c>
      <c r="D35" s="23">
        <f>Calc_x!V31</f>
        <v>1.6794860990091212E-2</v>
      </c>
      <c r="E35" s="23">
        <f>Calc_x!W31</f>
        <v>2.0704287374271311</v>
      </c>
      <c r="F35" s="23">
        <f>Calc_x!X31</f>
        <v>6.0600970729392323</v>
      </c>
    </row>
    <row r="36" spans="2:6">
      <c r="B36" s="22">
        <f>Calc_x!B32</f>
        <v>600</v>
      </c>
      <c r="C36" s="23">
        <f>Calc_x!U32</f>
        <v>1.2528195608372545E-5</v>
      </c>
      <c r="D36" s="23">
        <f>Calc_x!V32</f>
        <v>1.3219032709203308E-2</v>
      </c>
      <c r="E36" s="23">
        <f>Calc_x!W32</f>
        <v>1.7811316224008669</v>
      </c>
      <c r="F36" s="23">
        <f>Calc_x!X32</f>
        <v>5.4190613333585231</v>
      </c>
    </row>
  </sheetData>
  <mergeCells count="1">
    <mergeCell ref="B2:G2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6C97"/>
  </sheetPr>
  <dimension ref="A1:AG30"/>
  <sheetViews>
    <sheetView showGridLines="0" topLeftCell="A2" workbookViewId="0">
      <selection activeCell="M2" sqref="M2"/>
    </sheetView>
  </sheetViews>
  <sheetFormatPr defaultRowHeight="15"/>
  <cols>
    <col min="2" max="2" width="7" customWidth="1"/>
    <col min="3" max="33" width="5.140625" customWidth="1"/>
  </cols>
  <sheetData>
    <row r="1" spans="1:33">
      <c r="A1" s="51" t="s">
        <v>50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33">
      <c r="A2" s="50" t="str">
        <f>IF(mode=1,"t = "&amp;t_sim&amp;" yr   |   colour = concentration; rows = cross-gradient y (ft), columns = downgradient x (ft)","Steady state   |   colour = concentration")</f>
        <v>t = 33 yr   |   colour = concentration; rows = cross-gradient y (ft), columns = downgradient x (ft)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1:33">
      <c r="B4" s="24" t="s">
        <v>51</v>
      </c>
      <c r="C4" s="25">
        <f>Calc_x!B2</f>
        <v>0</v>
      </c>
      <c r="D4" s="25">
        <f>Calc_x!B3</f>
        <v>20</v>
      </c>
      <c r="E4" s="25">
        <f>Calc_x!B4</f>
        <v>40</v>
      </c>
      <c r="F4" s="25">
        <f>Calc_x!B5</f>
        <v>60</v>
      </c>
      <c r="G4" s="25">
        <f>Calc_x!B6</f>
        <v>80</v>
      </c>
      <c r="H4" s="25">
        <f>Calc_x!B7</f>
        <v>100</v>
      </c>
      <c r="I4" s="25">
        <f>Calc_x!B8</f>
        <v>120</v>
      </c>
      <c r="J4" s="25">
        <f>Calc_x!B9</f>
        <v>140</v>
      </c>
      <c r="K4" s="25">
        <f>Calc_x!B10</f>
        <v>160</v>
      </c>
      <c r="L4" s="25">
        <f>Calc_x!B11</f>
        <v>180</v>
      </c>
      <c r="M4" s="25">
        <f>Calc_x!B12</f>
        <v>200</v>
      </c>
      <c r="N4" s="25">
        <f>Calc_x!B13</f>
        <v>220</v>
      </c>
      <c r="O4" s="25">
        <f>Calc_x!B14</f>
        <v>240</v>
      </c>
      <c r="P4" s="25">
        <f>Calc_x!B15</f>
        <v>260</v>
      </c>
      <c r="Q4" s="25">
        <f>Calc_x!B16</f>
        <v>280</v>
      </c>
      <c r="R4" s="25">
        <f>Calc_x!B17</f>
        <v>300</v>
      </c>
      <c r="S4" s="25">
        <f>Calc_x!B18</f>
        <v>320</v>
      </c>
      <c r="T4" s="25">
        <f>Calc_x!B19</f>
        <v>340</v>
      </c>
      <c r="U4" s="25">
        <f>Calc_x!B20</f>
        <v>360</v>
      </c>
      <c r="V4" s="25">
        <f>Calc_x!B21</f>
        <v>380</v>
      </c>
      <c r="W4" s="25">
        <f>Calc_x!B22</f>
        <v>400</v>
      </c>
      <c r="X4" s="25">
        <f>Calc_x!B23</f>
        <v>420</v>
      </c>
      <c r="Y4" s="25">
        <f>Calc_x!B24</f>
        <v>440</v>
      </c>
      <c r="Z4" s="25">
        <f>Calc_x!B25</f>
        <v>460</v>
      </c>
      <c r="AA4" s="25">
        <f>Calc_x!B26</f>
        <v>480</v>
      </c>
      <c r="AB4" s="25">
        <f>Calc_x!B27</f>
        <v>500</v>
      </c>
      <c r="AC4" s="25">
        <f>Calc_x!B28</f>
        <v>520</v>
      </c>
      <c r="AD4" s="25">
        <f>Calc_x!B29</f>
        <v>540</v>
      </c>
      <c r="AE4" s="25">
        <f>Calc_x!B30</f>
        <v>560</v>
      </c>
      <c r="AF4" s="25">
        <f>Calc_x!B31</f>
        <v>580</v>
      </c>
      <c r="AG4" s="25">
        <f>Calc_x!B32</f>
        <v>600</v>
      </c>
    </row>
    <row r="5" spans="1:33" hidden="1">
      <c r="C5">
        <f>Calc_x!P2</f>
        <v>0</v>
      </c>
      <c r="D5">
        <f>Calc_x!P3</f>
        <v>3.7434995220570359E-2</v>
      </c>
      <c r="E5">
        <f>Calc_x!P4</f>
        <v>2.8027577343242561E-2</v>
      </c>
      <c r="F5">
        <f>Calc_x!P5</f>
        <v>2.0984244477649638E-2</v>
      </c>
      <c r="G5">
        <f>Calc_x!P6</f>
        <v>1.5710901834286153E-2</v>
      </c>
      <c r="H5">
        <f>Calc_x!P7</f>
        <v>1.1762750700972682E-2</v>
      </c>
      <c r="I5">
        <f>Calc_x!P8</f>
        <v>8.8067703243075567E-3</v>
      </c>
      <c r="J5">
        <f>Calc_x!P9</f>
        <v>6.5936280978703219E-3</v>
      </c>
      <c r="K5">
        <f>Calc_x!P10</f>
        <v>4.9366487227778576E-3</v>
      </c>
      <c r="L5">
        <f>Calc_x!P11</f>
        <v>3.696068420152394E-3</v>
      </c>
      <c r="M5">
        <f>Calc_x!P12</f>
        <v>2.7672460614342398E-3</v>
      </c>
      <c r="N5">
        <f>Calc_x!P13</f>
        <v>2.0718368426888433E-3</v>
      </c>
      <c r="O5">
        <f>Calc_x!P14</f>
        <v>1.551184015302025E-3</v>
      </c>
      <c r="P5">
        <f>Calc_x!P15</f>
        <v>1.1613712752675898E-3</v>
      </c>
      <c r="Q5">
        <f>Calc_x!P16</f>
        <v>8.6951848739922439E-4</v>
      </c>
      <c r="R5">
        <f>Calc_x!P17</f>
        <v>6.5100829429005035E-4</v>
      </c>
      <c r="S5">
        <f>Calc_x!P18</f>
        <v>4.874096786222553E-4</v>
      </c>
      <c r="T5">
        <f>Calc_x!P19</f>
        <v>3.6492333443725709E-4</v>
      </c>
      <c r="U5">
        <f>Calc_x!P20</f>
        <v>2.7321771680800875E-4</v>
      </c>
      <c r="V5">
        <f>Calc_x!P21</f>
        <v>2.045575925068169E-4</v>
      </c>
      <c r="W5">
        <f>Calc_x!P22</f>
        <v>1.5315158627931985E-4</v>
      </c>
      <c r="X5">
        <f>Calc_x!P23</f>
        <v>1.1466368926178997E-4</v>
      </c>
      <c r="Y5">
        <f>Calc_x!P24</f>
        <v>8.5847525991529798E-5</v>
      </c>
      <c r="Z5">
        <f>Calc_x!P25</f>
        <v>6.4272530891546813E-5</v>
      </c>
      <c r="AA5">
        <f>Calc_x!P26</f>
        <v>4.811893744605297E-5</v>
      </c>
      <c r="AB5">
        <f>Calc_x!P27</f>
        <v>3.6024287429731179E-5</v>
      </c>
      <c r="AC5">
        <f>Calc_x!P28</f>
        <v>2.6968513096102603E-5</v>
      </c>
      <c r="AD5">
        <f>Calc_x!P29</f>
        <v>2.0187898726132755E-5</v>
      </c>
      <c r="AE5">
        <f>Calc_x!P30</f>
        <v>1.5110663833512448E-5</v>
      </c>
      <c r="AF5">
        <f>Calc_x!P31</f>
        <v>1.1308734098397028E-5</v>
      </c>
      <c r="AG5">
        <f>Calc_x!P32</f>
        <v>8.4616316000890603E-6</v>
      </c>
    </row>
    <row r="6" spans="1:33">
      <c r="B6" s="26">
        <f>y_half-(0)*(2*y_half)/(25-1)</f>
        <v>150</v>
      </c>
      <c r="C6" s="27">
        <f t="shared" ref="C6:L15" si="0">IF(C$4&lt;=0,IF(ABS($B6)&lt;=Y_src/2,C0_1,0),C$5*(IF(C$4&lt;=0,0,ERF(($B6+Y_src/2)/(2*SQRT(a_T*C$4)))-ERF(($B6-Y_src/2)/(2*SQRT(a_T*C$4))))))</f>
        <v>0</v>
      </c>
      <c r="D6" s="27">
        <f t="shared" si="0"/>
        <v>0</v>
      </c>
      <c r="E6" s="27">
        <f t="shared" si="0"/>
        <v>0</v>
      </c>
      <c r="F6" s="27">
        <f t="shared" si="0"/>
        <v>2.1319259825844022E-14</v>
      </c>
      <c r="G6" s="27">
        <f t="shared" si="0"/>
        <v>1.0506652516920312E-11</v>
      </c>
      <c r="H6" s="27">
        <f t="shared" si="0"/>
        <v>3.9519531572764551E-10</v>
      </c>
      <c r="I6" s="27">
        <f t="shared" si="0"/>
        <v>4.0894229807991208E-9</v>
      </c>
      <c r="J6" s="27">
        <f t="shared" si="0"/>
        <v>2.0192914649756955E-8</v>
      </c>
      <c r="K6" s="27">
        <f t="shared" si="0"/>
        <v>6.2701702875663646E-8</v>
      </c>
      <c r="L6" s="27">
        <f t="shared" si="0"/>
        <v>1.4276952137781379E-7</v>
      </c>
      <c r="M6" s="27">
        <f t="shared" ref="M6:V15" si="1">IF(M$4&lt;=0,IF(ABS($B6)&lt;=Y_src/2,C0_1,0),M$5*(IF(M$4&lt;=0,0,ERF(($B6+Y_src/2)/(2*SQRT(a_T*M$4)))-ERF(($B6-Y_src/2)/(2*SQRT(a_T*M$4))))))</f>
        <v>2.6145298844916467E-7</v>
      </c>
      <c r="N6" s="27">
        <f t="shared" si="1"/>
        <v>4.0845404104794633E-7</v>
      </c>
      <c r="O6" s="27">
        <f t="shared" si="1"/>
        <v>5.6621353952614231E-7</v>
      </c>
      <c r="P6" s="27">
        <f t="shared" si="1"/>
        <v>7.157567318214256E-7</v>
      </c>
      <c r="Q6" s="27">
        <f t="shared" si="1"/>
        <v>8.4137273040349862E-7</v>
      </c>
      <c r="R6" s="27">
        <f t="shared" si="1"/>
        <v>9.3301347552067885E-7</v>
      </c>
      <c r="S6" s="27">
        <f t="shared" si="1"/>
        <v>9.866259901639473E-7</v>
      </c>
      <c r="T6" s="27">
        <f t="shared" si="1"/>
        <v>1.0031712549507929E-6</v>
      </c>
      <c r="U6" s="27">
        <f t="shared" si="1"/>
        <v>9.8708702662137235E-7</v>
      </c>
      <c r="V6" s="27">
        <f t="shared" si="1"/>
        <v>9.4473157896879618E-7</v>
      </c>
      <c r="W6" s="27">
        <f t="shared" ref="W6:AG15" si="2">IF(W$4&lt;=0,IF(ABS($B6)&lt;=Y_src/2,C0_1,0),W$5*(IF(W$4&lt;=0,0,ERF(($B6+Y_src/2)/(2*SQRT(a_T*W$4)))-ERF(($B6-Y_src/2)/(2*SQRT(a_T*W$4))))))</f>
        <v>8.830985437767997E-7</v>
      </c>
      <c r="X6" s="27">
        <f t="shared" si="2"/>
        <v>8.0890424259692024E-7</v>
      </c>
      <c r="Y6" s="27">
        <f t="shared" si="2"/>
        <v>7.2803408573020014E-7</v>
      </c>
      <c r="Z6" s="27">
        <f t="shared" si="2"/>
        <v>6.4528008663898245E-7</v>
      </c>
      <c r="AA6" s="27">
        <f t="shared" si="2"/>
        <v>5.6428653117229401E-7</v>
      </c>
      <c r="AB6" s="27">
        <f t="shared" si="2"/>
        <v>4.8762737309381502E-7</v>
      </c>
      <c r="AC6" s="27">
        <f t="shared" si="2"/>
        <v>4.169545375620425E-7</v>
      </c>
      <c r="AD6" s="27">
        <f t="shared" si="2"/>
        <v>3.5317362700918068E-7</v>
      </c>
      <c r="AE6" s="27">
        <f t="shared" si="2"/>
        <v>2.9661885954306417E-7</v>
      </c>
      <c r="AF6" s="27">
        <f t="shared" si="2"/>
        <v>2.4721106494453035E-7</v>
      </c>
      <c r="AG6" s="27">
        <f t="shared" si="2"/>
        <v>2.0459112413913256E-7</v>
      </c>
    </row>
    <row r="7" spans="1:33">
      <c r="B7" s="26">
        <f>y_half-(1)*(2*y_half)/(25-1)</f>
        <v>137.5</v>
      </c>
      <c r="C7" s="27">
        <f t="shared" si="0"/>
        <v>0</v>
      </c>
      <c r="D7" s="27">
        <f t="shared" si="0"/>
        <v>0</v>
      </c>
      <c r="E7" s="27">
        <f t="shared" si="0"/>
        <v>6.1300217531132623E-16</v>
      </c>
      <c r="F7" s="27">
        <f t="shared" si="0"/>
        <v>9.3428936239668571E-12</v>
      </c>
      <c r="G7" s="27">
        <f t="shared" si="0"/>
        <v>1.0374234923184255E-9</v>
      </c>
      <c r="H7" s="27">
        <f t="shared" si="0"/>
        <v>1.5949164528920819E-8</v>
      </c>
      <c r="I7" s="27">
        <f t="shared" si="0"/>
        <v>9.0857345277224498E-8</v>
      </c>
      <c r="J7" s="27">
        <f t="shared" si="0"/>
        <v>2.9281081197769108E-7</v>
      </c>
      <c r="K7" s="27">
        <f t="shared" si="0"/>
        <v>6.6003195411375918E-7</v>
      </c>
      <c r="L7" s="27">
        <f t="shared" si="0"/>
        <v>1.1711980400065456E-6</v>
      </c>
      <c r="M7" s="27">
        <f t="shared" si="1"/>
        <v>1.7565932962564192E-6</v>
      </c>
      <c r="N7" s="27">
        <f t="shared" si="1"/>
        <v>2.3302249665656747E-6</v>
      </c>
      <c r="O7" s="27">
        <f t="shared" si="1"/>
        <v>2.8182938921198582E-6</v>
      </c>
      <c r="P7" s="27">
        <f t="shared" si="1"/>
        <v>3.1738255982534072E-6</v>
      </c>
      <c r="Q7" s="27">
        <f t="shared" si="1"/>
        <v>3.3786167483881379E-6</v>
      </c>
      <c r="R7" s="27">
        <f t="shared" si="1"/>
        <v>3.4377199325933301E-6</v>
      </c>
      <c r="S7" s="27">
        <f t="shared" si="1"/>
        <v>3.3713173311510371E-6</v>
      </c>
      <c r="T7" s="27">
        <f t="shared" si="1"/>
        <v>3.2070309767605319E-6</v>
      </c>
      <c r="U7" s="27">
        <f t="shared" si="1"/>
        <v>2.9740359937170331E-6</v>
      </c>
      <c r="V7" s="27">
        <f t="shared" si="1"/>
        <v>2.6992451068546112E-6</v>
      </c>
      <c r="W7" s="27">
        <f t="shared" si="2"/>
        <v>2.4052787289712194E-6</v>
      </c>
      <c r="X7" s="27">
        <f t="shared" si="2"/>
        <v>2.1097454276073011E-6</v>
      </c>
      <c r="Y7" s="27">
        <f t="shared" si="2"/>
        <v>1.8253651831249261E-6</v>
      </c>
      <c r="Z7" s="27">
        <f t="shared" si="2"/>
        <v>1.5605584381073897E-6</v>
      </c>
      <c r="AA7" s="27">
        <f t="shared" si="2"/>
        <v>1.3202328685647045E-6</v>
      </c>
      <c r="AB7" s="27">
        <f t="shared" si="2"/>
        <v>1.106596672252031E-6</v>
      </c>
      <c r="AC7" s="27">
        <f t="shared" si="2"/>
        <v>9.1990158634174498E-7</v>
      </c>
      <c r="AD7" s="27">
        <f t="shared" si="2"/>
        <v>7.5907053534185425E-7</v>
      </c>
      <c r="AE7" s="27">
        <f t="shared" si="2"/>
        <v>6.2219764142421439E-7</v>
      </c>
      <c r="AF7" s="27">
        <f t="shared" si="2"/>
        <v>5.0692717646539778E-7</v>
      </c>
      <c r="AG7" s="27">
        <f t="shared" si="2"/>
        <v>4.1072733707201982E-7</v>
      </c>
    </row>
    <row r="8" spans="1:33">
      <c r="B8" s="26">
        <f>y_half-(2)*(2*y_half)/(25-1)</f>
        <v>125</v>
      </c>
      <c r="C8" s="27">
        <f t="shared" si="0"/>
        <v>0</v>
      </c>
      <c r="D8" s="27">
        <f t="shared" si="0"/>
        <v>0</v>
      </c>
      <c r="E8" s="27">
        <f t="shared" si="0"/>
        <v>1.6367282548259173E-12</v>
      </c>
      <c r="F8" s="27">
        <f t="shared" si="0"/>
        <v>1.8843536794109364E-9</v>
      </c>
      <c r="G8" s="27">
        <f t="shared" si="0"/>
        <v>5.7454244154948847E-8</v>
      </c>
      <c r="H8" s="27">
        <f t="shared" si="0"/>
        <v>4.0642693045529112E-7</v>
      </c>
      <c r="I8" s="27">
        <f t="shared" si="0"/>
        <v>1.3791287517464383E-6</v>
      </c>
      <c r="J8" s="27">
        <f t="shared" si="0"/>
        <v>3.0684553940922297E-6</v>
      </c>
      <c r="K8" s="27">
        <f t="shared" si="0"/>
        <v>5.2366558429449719E-6</v>
      </c>
      <c r="L8" s="27">
        <f t="shared" si="0"/>
        <v>7.4816699962509004E-6</v>
      </c>
      <c r="M8" s="27">
        <f t="shared" si="1"/>
        <v>9.4326293975804021E-6</v>
      </c>
      <c r="N8" s="27">
        <f t="shared" si="1"/>
        <v>1.0853496848825512E-5</v>
      </c>
      <c r="O8" s="27">
        <f t="shared" si="1"/>
        <v>1.1656991602451171E-5</v>
      </c>
      <c r="P8" s="27">
        <f t="shared" si="1"/>
        <v>1.1870694395364593E-5</v>
      </c>
      <c r="Q8" s="27">
        <f t="shared" si="1"/>
        <v>1.1590649266326559E-5</v>
      </c>
      <c r="R8" s="27">
        <f t="shared" si="1"/>
        <v>1.0941187540516205E-5</v>
      </c>
      <c r="S8" s="27">
        <f t="shared" si="1"/>
        <v>1.0047144022851402E-5</v>
      </c>
      <c r="T8" s="27">
        <f t="shared" si="1"/>
        <v>9.0180170281812001E-6</v>
      </c>
      <c r="U8" s="27">
        <f t="shared" si="1"/>
        <v>7.9411601979667227E-6</v>
      </c>
      <c r="V8" s="27">
        <f t="shared" si="1"/>
        <v>6.8808113577546393E-6</v>
      </c>
      <c r="W8" s="27">
        <f t="shared" si="2"/>
        <v>5.8803573662773713E-6</v>
      </c>
      <c r="X8" s="27">
        <f t="shared" si="2"/>
        <v>4.9660208469657217E-6</v>
      </c>
      <c r="Y8" s="27">
        <f t="shared" si="2"/>
        <v>4.1508454595340881E-6</v>
      </c>
      <c r="Z8" s="27">
        <f t="shared" si="2"/>
        <v>3.4383674960759257E-6</v>
      </c>
      <c r="AA8" s="27">
        <f t="shared" si="2"/>
        <v>2.8257003160294681E-6</v>
      </c>
      <c r="AB8" s="27">
        <f t="shared" si="2"/>
        <v>2.3059621519082104E-6</v>
      </c>
      <c r="AC8" s="27">
        <f t="shared" si="2"/>
        <v>1.8700878994684723E-6</v>
      </c>
      <c r="AD8" s="27">
        <f t="shared" si="2"/>
        <v>1.5081153968085185E-6</v>
      </c>
      <c r="AE8" s="27">
        <f t="shared" si="2"/>
        <v>1.2100509886779274E-6</v>
      </c>
      <c r="AF8" s="27">
        <f t="shared" si="2"/>
        <v>9.6641435628335302E-7</v>
      </c>
      <c r="AG8" s="27">
        <f t="shared" si="2"/>
        <v>7.685489980891642E-7</v>
      </c>
    </row>
    <row r="9" spans="1:33">
      <c r="B9" s="26">
        <f>y_half-(3)*(2*y_half)/(25-1)</f>
        <v>112.5</v>
      </c>
      <c r="C9" s="27">
        <f t="shared" si="0"/>
        <v>0</v>
      </c>
      <c r="D9" s="27">
        <f t="shared" si="0"/>
        <v>4.4886089110258694E-16</v>
      </c>
      <c r="E9" s="27">
        <f t="shared" si="0"/>
        <v>1.3611527721824874E-9</v>
      </c>
      <c r="F9" s="27">
        <f t="shared" si="0"/>
        <v>1.7587726119063842E-7</v>
      </c>
      <c r="G9" s="27">
        <f t="shared" si="0"/>
        <v>1.7937088658126173E-6</v>
      </c>
      <c r="H9" s="27">
        <f t="shared" si="0"/>
        <v>6.5700163966964089E-6</v>
      </c>
      <c r="I9" s="27">
        <f t="shared" si="0"/>
        <v>1.4363897111166686E-5</v>
      </c>
      <c r="J9" s="27">
        <f t="shared" si="0"/>
        <v>2.3331715216762141E-5</v>
      </c>
      <c r="K9" s="27">
        <f t="shared" si="0"/>
        <v>3.1432934690776742E-5</v>
      </c>
      <c r="L9" s="27">
        <f t="shared" si="0"/>
        <v>3.7349084965309437E-5</v>
      </c>
      <c r="M9" s="27">
        <f t="shared" si="1"/>
        <v>4.0619081052121719E-5</v>
      </c>
      <c r="N9" s="27">
        <f t="shared" si="1"/>
        <v>4.140296665874248E-5</v>
      </c>
      <c r="O9" s="27">
        <f t="shared" si="1"/>
        <v>4.0186683816099751E-5</v>
      </c>
      <c r="P9" s="27">
        <f t="shared" si="1"/>
        <v>3.7556145731918223E-5</v>
      </c>
      <c r="Q9" s="27">
        <f t="shared" si="1"/>
        <v>3.4062144799578401E-5</v>
      </c>
      <c r="R9" s="27">
        <f t="shared" si="1"/>
        <v>3.0157295729412322E-5</v>
      </c>
      <c r="S9" s="27">
        <f t="shared" si="1"/>
        <v>2.6179043139207312E-5</v>
      </c>
      <c r="T9" s="27">
        <f t="shared" si="1"/>
        <v>2.2357551173306062E-5</v>
      </c>
      <c r="U9" s="27">
        <f t="shared" si="1"/>
        <v>1.8834340291824131E-5</v>
      </c>
      <c r="V9" s="27">
        <f t="shared" si="1"/>
        <v>1.5683431650608715E-5</v>
      </c>
      <c r="W9" s="27">
        <f t="shared" si="2"/>
        <v>1.293081653877438E-5</v>
      </c>
      <c r="X9" s="27">
        <f t="shared" si="2"/>
        <v>1.057054900018741E-5</v>
      </c>
      <c r="Y9" s="27">
        <f t="shared" si="2"/>
        <v>8.5771285728733082E-6</v>
      </c>
      <c r="Z9" s="27">
        <f t="shared" si="2"/>
        <v>6.9145058967553669E-6</v>
      </c>
      <c r="AA9" s="27">
        <f t="shared" si="2"/>
        <v>5.5423013079242672E-6</v>
      </c>
      <c r="AB9" s="27">
        <f t="shared" si="2"/>
        <v>4.4198664860421598E-6</v>
      </c>
      <c r="AC9" s="27">
        <f t="shared" si="2"/>
        <v>3.5087567509439494E-6</v>
      </c>
      <c r="AD9" s="27">
        <f t="shared" si="2"/>
        <v>2.7740813806899198E-6</v>
      </c>
      <c r="AE9" s="27">
        <f t="shared" si="2"/>
        <v>2.1850949042522945E-6</v>
      </c>
      <c r="AF9" s="27">
        <f t="shared" si="2"/>
        <v>1.7152991128731333E-6</v>
      </c>
      <c r="AG9" s="27">
        <f t="shared" si="2"/>
        <v>1.3422489597464845E-6</v>
      </c>
    </row>
    <row r="10" spans="1:33">
      <c r="B10" s="26">
        <f>y_half-(4)*(2*y_half)/(25-1)</f>
        <v>100</v>
      </c>
      <c r="C10" s="27">
        <f t="shared" si="0"/>
        <v>0</v>
      </c>
      <c r="D10" s="27">
        <f t="shared" si="0"/>
        <v>2.5034621876178011E-11</v>
      </c>
      <c r="E10" s="27">
        <f t="shared" si="0"/>
        <v>3.5598579635453575E-7</v>
      </c>
      <c r="F10" s="27">
        <f t="shared" si="0"/>
        <v>7.6596736788372524E-6</v>
      </c>
      <c r="G10" s="27">
        <f t="shared" si="0"/>
        <v>3.1802382840408184E-5</v>
      </c>
      <c r="H10" s="27">
        <f t="shared" si="0"/>
        <v>6.7826450851658332E-5</v>
      </c>
      <c r="I10" s="27">
        <f t="shared" si="0"/>
        <v>1.0328030749593952E-4</v>
      </c>
      <c r="J10" s="27">
        <f t="shared" si="0"/>
        <v>1.2945159764543183E-4</v>
      </c>
      <c r="K10" s="27">
        <f t="shared" si="0"/>
        <v>1.4348701392694524E-4</v>
      </c>
      <c r="L10" s="27">
        <f t="shared" si="0"/>
        <v>1.4640946491528256E-4</v>
      </c>
      <c r="M10" s="27">
        <f t="shared" si="1"/>
        <v>1.4090202552579856E-4</v>
      </c>
      <c r="N10" s="27">
        <f t="shared" si="1"/>
        <v>1.2990117546502963E-4</v>
      </c>
      <c r="O10" s="27">
        <f t="shared" si="1"/>
        <v>1.1592916353462507E-4</v>
      </c>
      <c r="P10" s="27">
        <f t="shared" si="1"/>
        <v>1.0088299108782308E-4</v>
      </c>
      <c r="Q10" s="27">
        <f t="shared" si="1"/>
        <v>8.6052254164221945E-5</v>
      </c>
      <c r="R10" s="27">
        <f t="shared" si="1"/>
        <v>7.2227637126545395E-5</v>
      </c>
      <c r="S10" s="27">
        <f t="shared" si="1"/>
        <v>5.9828406690512034E-5</v>
      </c>
      <c r="T10" s="27">
        <f t="shared" si="1"/>
        <v>4.9017152250782791E-5</v>
      </c>
      <c r="U10" s="27">
        <f t="shared" si="1"/>
        <v>3.979117903091623E-5</v>
      </c>
      <c r="V10" s="27">
        <f t="shared" si="1"/>
        <v>3.2049986775117771E-5</v>
      </c>
      <c r="W10" s="27">
        <f t="shared" si="2"/>
        <v>2.5642291257848944E-5</v>
      </c>
      <c r="X10" s="27">
        <f t="shared" si="2"/>
        <v>2.0397099352848619E-5</v>
      </c>
      <c r="Y10" s="27">
        <f t="shared" si="2"/>
        <v>1.6143083665106772E-5</v>
      </c>
      <c r="Z10" s="27">
        <f t="shared" si="2"/>
        <v>1.271976340867304E-5</v>
      </c>
      <c r="AA10" s="27">
        <f t="shared" si="2"/>
        <v>9.9831826574349849E-6</v>
      </c>
      <c r="AB10" s="27">
        <f t="shared" si="2"/>
        <v>7.8080513073218457E-6</v>
      </c>
      <c r="AC10" s="27">
        <f t="shared" si="2"/>
        <v>6.0877296547448176E-6</v>
      </c>
      <c r="AD10" s="27">
        <f t="shared" si="2"/>
        <v>4.7329941500614061E-6</v>
      </c>
      <c r="AE10" s="27">
        <f t="shared" si="2"/>
        <v>3.6701992415282018E-6</v>
      </c>
      <c r="AF10" s="27">
        <f t="shared" si="2"/>
        <v>2.8392229645958374E-6</v>
      </c>
      <c r="AG10" s="27">
        <f t="shared" si="2"/>
        <v>2.1914283955519395E-6</v>
      </c>
    </row>
    <row r="11" spans="1:33">
      <c r="B11" s="26">
        <f>y_half-(5)*(2*y_half)/(25-1)</f>
        <v>87.5</v>
      </c>
      <c r="C11" s="27">
        <f t="shared" si="0"/>
        <v>0</v>
      </c>
      <c r="D11" s="27">
        <f t="shared" si="0"/>
        <v>1.3689852931601092E-7</v>
      </c>
      <c r="E11" s="27">
        <f t="shared" si="0"/>
        <v>2.97308528321864E-5</v>
      </c>
      <c r="F11" s="27">
        <f t="shared" si="0"/>
        <v>1.5769449255487834E-4</v>
      </c>
      <c r="G11" s="27">
        <f t="shared" si="0"/>
        <v>3.2385528238666522E-4</v>
      </c>
      <c r="H11" s="27">
        <f t="shared" si="0"/>
        <v>4.516546126122635E-4</v>
      </c>
      <c r="I11" s="27">
        <f t="shared" si="0"/>
        <v>5.1725301859871682E-4</v>
      </c>
      <c r="J11" s="27">
        <f t="shared" si="0"/>
        <v>5.2830576066127959E-4</v>
      </c>
      <c r="K11" s="27">
        <f t="shared" si="0"/>
        <v>5.0176961556032461E-4</v>
      </c>
      <c r="L11" s="27">
        <f t="shared" si="0"/>
        <v>4.5369727945332992E-4</v>
      </c>
      <c r="M11" s="27">
        <f t="shared" si="1"/>
        <v>3.9615512926979916E-4</v>
      </c>
      <c r="N11" s="27">
        <f t="shared" si="1"/>
        <v>3.3712208715302587E-4</v>
      </c>
      <c r="O11" s="27">
        <f t="shared" si="1"/>
        <v>2.8133061531109916E-4</v>
      </c>
      <c r="P11" s="27">
        <f t="shared" si="1"/>
        <v>2.3122361180257918E-4</v>
      </c>
      <c r="Q11" s="27">
        <f t="shared" si="1"/>
        <v>1.8775286675956865E-4</v>
      </c>
      <c r="R11" s="27">
        <f t="shared" si="1"/>
        <v>1.5096693452709359E-4</v>
      </c>
      <c r="S11" s="27">
        <f t="shared" si="1"/>
        <v>1.2041357898862918E-4</v>
      </c>
      <c r="T11" s="27">
        <f t="shared" si="1"/>
        <v>9.540062788925715E-5</v>
      </c>
      <c r="U11" s="27">
        <f t="shared" si="1"/>
        <v>7.5156485437150475E-5</v>
      </c>
      <c r="V11" s="27">
        <f t="shared" si="1"/>
        <v>5.8922966249216777E-5</v>
      </c>
      <c r="W11" s="27">
        <f t="shared" si="2"/>
        <v>4.6004271432033115E-5</v>
      </c>
      <c r="X11" s="27">
        <f t="shared" si="2"/>
        <v>3.5788635543257158E-5</v>
      </c>
      <c r="Y11" s="27">
        <f t="shared" si="2"/>
        <v>2.7753708477823036E-5</v>
      </c>
      <c r="Z11" s="27">
        <f t="shared" si="2"/>
        <v>2.1462855129876508E-5</v>
      </c>
      <c r="AA11" s="27">
        <f t="shared" si="2"/>
        <v>1.6556895672431495E-5</v>
      </c>
      <c r="AB11" s="27">
        <f t="shared" si="2"/>
        <v>1.2744035414683207E-5</v>
      </c>
      <c r="AC11" s="27">
        <f t="shared" si="2"/>
        <v>9.7895784553570876E-6</v>
      </c>
      <c r="AD11" s="27">
        <f t="shared" si="2"/>
        <v>7.5062857672932472E-6</v>
      </c>
      <c r="AE11" s="27">
        <f t="shared" si="2"/>
        <v>5.7457851651110108E-6</v>
      </c>
      <c r="AF11" s="27">
        <f t="shared" si="2"/>
        <v>4.3911705169414184E-6</v>
      </c>
      <c r="AG11" s="27">
        <f t="shared" si="2"/>
        <v>3.3507746807924677E-6</v>
      </c>
    </row>
    <row r="12" spans="1:33">
      <c r="B12" s="26">
        <f>y_half-(6)*(2*y_half)/(25-1)</f>
        <v>75</v>
      </c>
      <c r="C12" s="27">
        <f t="shared" si="0"/>
        <v>0</v>
      </c>
      <c r="D12" s="27">
        <f t="shared" si="0"/>
        <v>7.5776811680875874E-5</v>
      </c>
      <c r="E12" s="27">
        <f t="shared" si="0"/>
        <v>8.1464037943647274E-4</v>
      </c>
      <c r="F12" s="27">
        <f t="shared" si="0"/>
        <v>1.5682786882029887E-3</v>
      </c>
      <c r="G12" s="27">
        <f t="shared" si="0"/>
        <v>1.9285341867399893E-3</v>
      </c>
      <c r="H12" s="27">
        <f t="shared" si="0"/>
        <v>1.9698530829282833E-3</v>
      </c>
      <c r="I12" s="27">
        <f t="shared" si="0"/>
        <v>1.8285100113188944E-3</v>
      </c>
      <c r="J12" s="27">
        <f t="shared" si="0"/>
        <v>1.6045817025086659E-3</v>
      </c>
      <c r="K12" s="27">
        <f t="shared" si="0"/>
        <v>1.3582795042472796E-3</v>
      </c>
      <c r="L12" s="27">
        <f t="shared" si="0"/>
        <v>1.1218804031871473E-3</v>
      </c>
      <c r="M12" s="27">
        <f t="shared" si="1"/>
        <v>9.1048146892794908E-4</v>
      </c>
      <c r="N12" s="27">
        <f t="shared" si="1"/>
        <v>7.2933924788229246E-4</v>
      </c>
      <c r="O12" s="27">
        <f t="shared" si="1"/>
        <v>5.7843502709531761E-4</v>
      </c>
      <c r="P12" s="27">
        <f t="shared" si="1"/>
        <v>4.5517929657433665E-4</v>
      </c>
      <c r="Q12" s="27">
        <f t="shared" si="1"/>
        <v>3.5595190807357263E-4</v>
      </c>
      <c r="R12" s="27">
        <f t="shared" si="1"/>
        <v>2.7693919891034542E-4</v>
      </c>
      <c r="S12" s="27">
        <f t="shared" si="1"/>
        <v>2.1455746652918444E-4</v>
      </c>
      <c r="T12" s="27">
        <f t="shared" si="1"/>
        <v>1.6563951698052965E-4</v>
      </c>
      <c r="U12" s="27">
        <f t="shared" si="1"/>
        <v>1.2749028860662738E-4</v>
      </c>
      <c r="V12" s="27">
        <f t="shared" si="1"/>
        <v>9.7874076816837266E-5</v>
      </c>
      <c r="W12" s="27">
        <f t="shared" si="2"/>
        <v>7.4969499729061171E-5</v>
      </c>
      <c r="X12" s="27">
        <f t="shared" si="2"/>
        <v>5.7312501725737728E-5</v>
      </c>
      <c r="Y12" s="27">
        <f t="shared" si="2"/>
        <v>4.3738294282562783E-5</v>
      </c>
      <c r="Z12" s="27">
        <f t="shared" si="2"/>
        <v>3.3327648280263904E-5</v>
      </c>
      <c r="AA12" s="27">
        <f t="shared" si="2"/>
        <v>2.5359824878680351E-5</v>
      </c>
      <c r="AB12" s="27">
        <f t="shared" si="2"/>
        <v>1.927271282150605E-5</v>
      </c>
      <c r="AC12" s="27">
        <f t="shared" si="2"/>
        <v>1.4629850448348043E-5</v>
      </c>
      <c r="AD12" s="27">
        <f t="shared" si="2"/>
        <v>1.1093600548292443E-5</v>
      </c>
      <c r="AE12" s="27">
        <f t="shared" si="2"/>
        <v>8.4036050284533383E-6</v>
      </c>
      <c r="AF12" s="27">
        <f t="shared" si="2"/>
        <v>6.3596490598376506E-6</v>
      </c>
      <c r="AG12" s="27">
        <f t="shared" si="2"/>
        <v>4.8081376951137826E-6</v>
      </c>
    </row>
    <row r="13" spans="1:33">
      <c r="B13" s="26">
        <f>y_half-(7)*(2*y_half)/(25-1)</f>
        <v>62.5</v>
      </c>
      <c r="C13" s="27">
        <f t="shared" si="0"/>
        <v>0</v>
      </c>
      <c r="D13" s="27">
        <f t="shared" si="0"/>
        <v>4.5951956688936538E-3</v>
      </c>
      <c r="E13" s="27">
        <f t="shared" si="0"/>
        <v>7.7115656220204483E-3</v>
      </c>
      <c r="F13" s="27">
        <f t="shared" si="0"/>
        <v>7.8251804565152225E-3</v>
      </c>
      <c r="G13" s="27">
        <f t="shared" si="0"/>
        <v>6.9177238642795357E-3</v>
      </c>
      <c r="H13" s="27">
        <f t="shared" si="0"/>
        <v>5.7645745919253097E-3</v>
      </c>
      <c r="I13" s="27">
        <f t="shared" si="0"/>
        <v>4.6557412631330801E-3</v>
      </c>
      <c r="J13" s="27">
        <f t="shared" si="0"/>
        <v>3.6902937817132205E-3</v>
      </c>
      <c r="K13" s="27">
        <f t="shared" si="0"/>
        <v>2.889452863064378E-3</v>
      </c>
      <c r="L13" s="27">
        <f t="shared" si="0"/>
        <v>2.2432880562404819E-3</v>
      </c>
      <c r="M13" s="27">
        <f t="shared" si="1"/>
        <v>1.7309350150846636E-3</v>
      </c>
      <c r="N13" s="27">
        <f t="shared" si="1"/>
        <v>1.3294282403011274E-3</v>
      </c>
      <c r="O13" s="27">
        <f t="shared" si="1"/>
        <v>1.0173952449185392E-3</v>
      </c>
      <c r="P13" s="27">
        <f t="shared" si="1"/>
        <v>7.7638081226387402E-4</v>
      </c>
      <c r="Q13" s="27">
        <f t="shared" si="1"/>
        <v>5.9108853479968688E-4</v>
      </c>
      <c r="R13" s="27">
        <f t="shared" si="1"/>
        <v>4.4915475525508341E-4</v>
      </c>
      <c r="S13" s="27">
        <f t="shared" si="1"/>
        <v>3.4075080052839484E-4</v>
      </c>
      <c r="T13" s="27">
        <f t="shared" si="1"/>
        <v>2.5815309389793647E-4</v>
      </c>
      <c r="U13" s="27">
        <f t="shared" si="1"/>
        <v>1.9534305768773185E-4</v>
      </c>
      <c r="V13" s="27">
        <f t="shared" si="1"/>
        <v>1.4766020886306368E-4</v>
      </c>
      <c r="W13" s="27">
        <f t="shared" si="2"/>
        <v>1.1151322503797807E-4</v>
      </c>
      <c r="X13" s="27">
        <f t="shared" si="2"/>
        <v>8.4145297340910033E-5</v>
      </c>
      <c r="Y13" s="27">
        <f t="shared" si="2"/>
        <v>6.3446781470914959E-5</v>
      </c>
      <c r="Z13" s="27">
        <f t="shared" si="2"/>
        <v>4.7807398586026738E-5</v>
      </c>
      <c r="AA13" s="27">
        <f t="shared" si="2"/>
        <v>3.6000660545645858E-5</v>
      </c>
      <c r="AB13" s="27">
        <f t="shared" si="2"/>
        <v>2.7094095409639867E-5</v>
      </c>
      <c r="AC13" s="27">
        <f t="shared" si="2"/>
        <v>2.0379875115055178E-5</v>
      </c>
      <c r="AD13" s="27">
        <f t="shared" si="2"/>
        <v>1.5321429930301376E-5</v>
      </c>
      <c r="AE13" s="27">
        <f t="shared" si="2"/>
        <v>1.1512503164847872E-5</v>
      </c>
      <c r="AF13" s="27">
        <f t="shared" si="2"/>
        <v>8.6458340419479201E-6</v>
      </c>
      <c r="AG13" s="27">
        <f t="shared" si="2"/>
        <v>6.4892601199122957E-6</v>
      </c>
    </row>
    <row r="14" spans="1:33">
      <c r="B14" s="26">
        <f>y_half-(8)*(2*y_half)/(25-1)</f>
        <v>50</v>
      </c>
      <c r="C14" s="27">
        <f t="shared" si="0"/>
        <v>0.1</v>
      </c>
      <c r="D14" s="27">
        <f t="shared" si="0"/>
        <v>3.7434995220570359E-2</v>
      </c>
      <c r="E14" s="27">
        <f t="shared" si="0"/>
        <v>2.8027577343242561E-2</v>
      </c>
      <c r="F14" s="27">
        <f t="shared" si="0"/>
        <v>2.0984244477628318E-2</v>
      </c>
      <c r="G14" s="27">
        <f t="shared" si="0"/>
        <v>1.5710901823779502E-2</v>
      </c>
      <c r="H14" s="27">
        <f t="shared" si="0"/>
        <v>1.1762750305777366E-2</v>
      </c>
      <c r="I14" s="27">
        <f t="shared" si="0"/>
        <v>8.8067662348845759E-3</v>
      </c>
      <c r="J14" s="27">
        <f t="shared" si="0"/>
        <v>6.5936079049556725E-3</v>
      </c>
      <c r="K14" s="27">
        <f t="shared" si="0"/>
        <v>4.9365860210749818E-3</v>
      </c>
      <c r="L14" s="27">
        <f t="shared" si="0"/>
        <v>3.6959256506310153E-3</v>
      </c>
      <c r="M14" s="27">
        <f t="shared" si="1"/>
        <v>2.7669846084457748E-3</v>
      </c>
      <c r="N14" s="27">
        <f t="shared" si="1"/>
        <v>2.0714283886475952E-3</v>
      </c>
      <c r="O14" s="27">
        <f t="shared" si="1"/>
        <v>1.5506178017609229E-3</v>
      </c>
      <c r="P14" s="27">
        <f t="shared" si="1"/>
        <v>1.1606555185271117E-3</v>
      </c>
      <c r="Q14" s="27">
        <f t="shared" si="1"/>
        <v>8.6867711463296034E-4</v>
      </c>
      <c r="R14" s="27">
        <f t="shared" si="1"/>
        <v>6.5007528069601403E-4</v>
      </c>
      <c r="S14" s="27">
        <f t="shared" si="1"/>
        <v>4.8642305230613651E-4</v>
      </c>
      <c r="T14" s="27">
        <f t="shared" si="1"/>
        <v>3.6392016241177923E-4</v>
      </c>
      <c r="U14" s="27">
        <f t="shared" si="1"/>
        <v>2.7223062817599276E-4</v>
      </c>
      <c r="V14" s="27">
        <f t="shared" si="1"/>
        <v>2.0361285792066101E-4</v>
      </c>
      <c r="W14" s="27">
        <f t="shared" si="2"/>
        <v>1.5226848259008083E-4</v>
      </c>
      <c r="X14" s="27">
        <f t="shared" si="2"/>
        <v>1.1385477687285301E-4</v>
      </c>
      <c r="Y14" s="27">
        <f t="shared" si="2"/>
        <v>8.5119479845738227E-5</v>
      </c>
      <c r="Z14" s="27">
        <f t="shared" si="2"/>
        <v>6.362723396399601E-5</v>
      </c>
      <c r="AA14" s="27">
        <f t="shared" si="2"/>
        <v>4.7554628570856551E-5</v>
      </c>
      <c r="AB14" s="27">
        <f t="shared" si="2"/>
        <v>3.5536631717746262E-5</v>
      </c>
      <c r="AC14" s="27">
        <f t="shared" si="2"/>
        <v>2.6551524022926516E-5</v>
      </c>
      <c r="AD14" s="27">
        <f t="shared" si="2"/>
        <v>1.9834684481267811E-5</v>
      </c>
      <c r="AE14" s="27">
        <f t="shared" si="2"/>
        <v>1.4813998697725022E-5</v>
      </c>
      <c r="AF14" s="27">
        <f t="shared" si="2"/>
        <v>1.106147179632205E-5</v>
      </c>
      <c r="AG14" s="27">
        <f t="shared" si="2"/>
        <v>8.256985192474554E-6</v>
      </c>
    </row>
    <row r="15" spans="1:33">
      <c r="B15" s="26">
        <f>y_half-(9)*(2*y_half)/(25-1)</f>
        <v>37.5</v>
      </c>
      <c r="C15" s="27">
        <f t="shared" si="0"/>
        <v>0.1</v>
      </c>
      <c r="D15" s="27">
        <f t="shared" si="0"/>
        <v>7.027479477224706E-2</v>
      </c>
      <c r="E15" s="27">
        <f t="shared" si="0"/>
        <v>4.8343589064464065E-2</v>
      </c>
      <c r="F15" s="27">
        <f t="shared" si="0"/>
        <v>3.4143308489441138E-2</v>
      </c>
      <c r="G15" s="27">
        <f t="shared" si="0"/>
        <v>2.4504078766809809E-2</v>
      </c>
      <c r="H15" s="27">
        <f t="shared" si="0"/>
        <v>1.7760910854693022E-2</v>
      </c>
      <c r="I15" s="27">
        <f t="shared" si="0"/>
        <v>1.2957708402779372E-2</v>
      </c>
      <c r="J15" s="27">
        <f t="shared" si="0"/>
        <v>9.4966685998215724E-3</v>
      </c>
      <c r="K15" s="27">
        <f t="shared" si="0"/>
        <v>6.9831800735901542E-3</v>
      </c>
      <c r="L15" s="27">
        <f t="shared" si="0"/>
        <v>5.1476640696252818E-3</v>
      </c>
      <c r="M15" s="27">
        <f t="shared" si="1"/>
        <v>3.801769490095184E-3</v>
      </c>
      <c r="N15" s="27">
        <f t="shared" si="1"/>
        <v>2.8118569077663523E-3</v>
      </c>
      <c r="O15" s="27">
        <f t="shared" si="1"/>
        <v>2.082060179057663E-3</v>
      </c>
      <c r="P15" s="27">
        <f t="shared" si="1"/>
        <v>1.5430520598056824E-3</v>
      </c>
      <c r="Q15" s="27">
        <f t="shared" si="1"/>
        <v>1.144391198135598E-3</v>
      </c>
      <c r="R15" s="27">
        <f t="shared" si="1"/>
        <v>8.4920581947491133E-4</v>
      </c>
      <c r="S15" s="27">
        <f t="shared" si="1"/>
        <v>6.3044589810647687E-4</v>
      </c>
      <c r="T15" s="27">
        <f t="shared" si="1"/>
        <v>4.6821104068873966E-4</v>
      </c>
      <c r="U15" s="27">
        <f t="shared" si="1"/>
        <v>3.4782850512219315E-4</v>
      </c>
      <c r="V15" s="27">
        <f t="shared" si="1"/>
        <v>2.5846120838601491E-4</v>
      </c>
      <c r="W15" s="27">
        <f t="shared" si="2"/>
        <v>1.9209409119458467E-4</v>
      </c>
      <c r="X15" s="27">
        <f t="shared" si="2"/>
        <v>1.4279283067959549E-4</v>
      </c>
      <c r="Y15" s="27">
        <f t="shared" si="2"/>
        <v>1.0615988842689589E-4</v>
      </c>
      <c r="Z15" s="27">
        <f t="shared" si="2"/>
        <v>7.8934292884664397E-5</v>
      </c>
      <c r="AA15" s="27">
        <f t="shared" si="2"/>
        <v>5.8696551476259673E-5</v>
      </c>
      <c r="AB15" s="27">
        <f t="shared" si="2"/>
        <v>4.3650711200293865E-5</v>
      </c>
      <c r="AC15" s="27">
        <f t="shared" si="2"/>
        <v>3.2463182890557771E-5</v>
      </c>
      <c r="AD15" s="27">
        <f t="shared" si="2"/>
        <v>2.4143417749745372E-5</v>
      </c>
      <c r="AE15" s="27">
        <f t="shared" si="2"/>
        <v>1.7955493015305305E-5</v>
      </c>
      <c r="AF15" s="27">
        <f t="shared" si="2"/>
        <v>1.3352554980505024E-5</v>
      </c>
      <c r="AG15" s="27">
        <f t="shared" si="2"/>
        <v>9.9281827867575999E-6</v>
      </c>
    </row>
    <row r="16" spans="1:33">
      <c r="B16" s="26">
        <f>y_half-(10)*(2*y_half)/(25-1)</f>
        <v>25</v>
      </c>
      <c r="C16" s="27">
        <f t="shared" ref="C16:L30" si="3">IF(C$4&lt;=0,IF(ABS($B16)&lt;=Y_src/2,C0_1,0),C$5*(IF(C$4&lt;=0,0,ERF(($B16+Y_src/2)/(2*SQRT(a_T*C$4)))-ERF(($B16-Y_src/2)/(2*SQRT(a_T*C$4))))))</f>
        <v>0.1</v>
      </c>
      <c r="D16" s="27">
        <f t="shared" si="3"/>
        <v>7.4794213629459844E-2</v>
      </c>
      <c r="E16" s="27">
        <f t="shared" si="3"/>
        <v>5.5240514305411915E-2</v>
      </c>
      <c r="F16" s="27">
        <f t="shared" si="3"/>
        <v>4.0400208382742608E-2</v>
      </c>
      <c r="G16" s="27">
        <f t="shared" si="3"/>
        <v>2.9493212027587975E-2</v>
      </c>
      <c r="H16" s="27">
        <f t="shared" si="3"/>
        <v>2.1555241892026299E-2</v>
      </c>
      <c r="I16" s="27">
        <f t="shared" si="3"/>
        <v>1.578365150593344E-2</v>
      </c>
      <c r="J16" s="27">
        <f t="shared" si="3"/>
        <v>1.1579606001991845E-2</v>
      </c>
      <c r="K16" s="27">
        <f t="shared" si="3"/>
        <v>8.5097810457181854E-3</v>
      </c>
      <c r="L16" s="27">
        <f t="shared" si="3"/>
        <v>6.2627737753108313E-3</v>
      </c>
      <c r="M16" s="27">
        <f t="shared" ref="M16:V30" si="4">IF(M$4&lt;=0,IF(ABS($B16)&lt;=Y_src/2,C0_1,0),M$5*(IF(M$4&lt;=0,0,ERF(($B16+Y_src/2)/(2*SQRT(a_T*M$4)))-ERF(($B16-Y_src/2)/(2*SQRT(a_T*M$4))))))</f>
        <v>4.6145750952584583E-3</v>
      </c>
      <c r="N16" s="27">
        <f t="shared" si="4"/>
        <v>3.4034741727870144E-3</v>
      </c>
      <c r="O16" s="27">
        <f t="shared" si="4"/>
        <v>2.5122630101282544E-3</v>
      </c>
      <c r="P16" s="27">
        <f t="shared" si="4"/>
        <v>1.8556708928697948E-3</v>
      </c>
      <c r="Q16" s="27">
        <f t="shared" si="4"/>
        <v>1.3714621349100273E-3</v>
      </c>
      <c r="R16" s="27">
        <f t="shared" si="4"/>
        <v>1.0140922293072295E-3</v>
      </c>
      <c r="S16" s="27">
        <f t="shared" si="4"/>
        <v>7.5015906709360099E-4</v>
      </c>
      <c r="T16" s="27">
        <f t="shared" si="4"/>
        <v>5.5512275152750203E-4</v>
      </c>
      <c r="U16" s="27">
        <f t="shared" si="4"/>
        <v>4.1092871835714657E-4</v>
      </c>
      <c r="V16" s="27">
        <f t="shared" si="4"/>
        <v>3.0427849834692937E-4</v>
      </c>
      <c r="W16" s="27">
        <f t="shared" ref="W16:AG30" si="5">IF(W$4&lt;=0,IF(ABS($B16)&lt;=Y_src/2,C0_1,0),W$5*(IF(W$4&lt;=0,0,ERF(($B16+Y_src/2)/(2*SQRT(a_T*W$4)))-ERF(($B16-Y_src/2)/(2*SQRT(a_T*W$4))))))</f>
        <v>2.2536756587134566E-4</v>
      </c>
      <c r="X16" s="27">
        <f t="shared" si="5"/>
        <v>1.6696170268400322E-4</v>
      </c>
      <c r="Y16" s="27">
        <f t="shared" si="5"/>
        <v>1.2371967005978969E-4</v>
      </c>
      <c r="Z16" s="27">
        <f t="shared" si="5"/>
        <v>9.1695669410221315E-5</v>
      </c>
      <c r="AA16" s="27">
        <f t="shared" si="5"/>
        <v>6.7973370979901022E-5</v>
      </c>
      <c r="AB16" s="27">
        <f t="shared" si="5"/>
        <v>5.0396419923677045E-5</v>
      </c>
      <c r="AC16" s="27">
        <f t="shared" si="5"/>
        <v>3.7369804427073131E-5</v>
      </c>
      <c r="AD16" s="27">
        <f t="shared" si="5"/>
        <v>2.771334085106743E-5</v>
      </c>
      <c r="AE16" s="27">
        <f t="shared" si="5"/>
        <v>2.0553531157625798E-5</v>
      </c>
      <c r="AF16" s="27">
        <f t="shared" si="5"/>
        <v>1.5243698110988622E-5</v>
      </c>
      <c r="AG16" s="27">
        <f t="shared" si="5"/>
        <v>1.130497491356879E-5</v>
      </c>
    </row>
    <row r="17" spans="2:33">
      <c r="B17" s="26">
        <f>y_half-(11)*(2*y_half)/(25-1)</f>
        <v>12.5</v>
      </c>
      <c r="C17" s="27">
        <f t="shared" si="3"/>
        <v>0.1</v>
      </c>
      <c r="D17" s="27">
        <f t="shared" si="3"/>
        <v>7.4869853542610956E-2</v>
      </c>
      <c r="E17" s="27">
        <f t="shared" si="3"/>
        <v>5.6025422472500162E-2</v>
      </c>
      <c r="F17" s="27">
        <f t="shared" si="3"/>
        <v>4.1810618585483204E-2</v>
      </c>
      <c r="G17" s="27">
        <f t="shared" si="3"/>
        <v>3.1096154677319826E-2</v>
      </c>
      <c r="H17" s="27">
        <f t="shared" si="3"/>
        <v>2.3067276772936032E-2</v>
      </c>
      <c r="I17" s="27">
        <f t="shared" si="3"/>
        <v>1.7081923732868341E-2</v>
      </c>
      <c r="J17" s="27">
        <f t="shared" si="3"/>
        <v>1.2635618718943262E-2</v>
      </c>
      <c r="K17" s="27">
        <f t="shared" si="3"/>
        <v>9.3400948856845641E-3</v>
      </c>
      <c r="L17" s="27">
        <f t="shared" si="3"/>
        <v>6.9010904194834882E-3</v>
      </c>
      <c r="M17" s="27">
        <f t="shared" si="4"/>
        <v>5.0977176921932167E-3</v>
      </c>
      <c r="N17" s="27">
        <f t="shared" si="4"/>
        <v>3.7651479909448344E-3</v>
      </c>
      <c r="O17" s="27">
        <f t="shared" si="4"/>
        <v>2.780849239530698E-3</v>
      </c>
      <c r="P17" s="27">
        <f t="shared" si="4"/>
        <v>2.0539598637807298E-3</v>
      </c>
      <c r="Q17" s="27">
        <f t="shared" si="4"/>
        <v>1.517216934659108E-3</v>
      </c>
      <c r="R17" s="27">
        <f t="shared" si="4"/>
        <v>1.1208846055497344E-3</v>
      </c>
      <c r="S17" s="27">
        <f t="shared" si="4"/>
        <v>8.2821578283209492E-4</v>
      </c>
      <c r="T17" s="27">
        <f t="shared" si="4"/>
        <v>6.1207409343401768E-4</v>
      </c>
      <c r="U17" s="27">
        <f t="shared" si="4"/>
        <v>4.5242678881447909E-4</v>
      </c>
      <c r="V17" s="27">
        <f t="shared" si="4"/>
        <v>3.3448782233265635E-4</v>
      </c>
      <c r="W17" s="27">
        <f t="shared" si="5"/>
        <v>2.4734446132276762E-4</v>
      </c>
      <c r="X17" s="27">
        <f t="shared" si="5"/>
        <v>1.8294254435639678E-4</v>
      </c>
      <c r="Y17" s="27">
        <f t="shared" si="5"/>
        <v>1.3533724506850981E-4</v>
      </c>
      <c r="Z17" s="27">
        <f t="shared" si="5"/>
        <v>1.0014012539755267E-4</v>
      </c>
      <c r="AA17" s="27">
        <f t="shared" si="5"/>
        <v>7.4111167482663083E-5</v>
      </c>
      <c r="AB17" s="27">
        <f t="shared" si="5"/>
        <v>5.4857816001884762E-5</v>
      </c>
      <c r="AC17" s="27">
        <f t="shared" si="5"/>
        <v>4.0612971958318182E-5</v>
      </c>
      <c r="AD17" s="27">
        <f t="shared" si="5"/>
        <v>3.0071220796801975E-5</v>
      </c>
      <c r="AE17" s="27">
        <f t="shared" si="5"/>
        <v>2.2268008084197836E-5</v>
      </c>
      <c r="AF17" s="27">
        <f t="shared" si="5"/>
        <v>1.6490487558268416E-5</v>
      </c>
      <c r="AG17" s="27">
        <f t="shared" si="5"/>
        <v>1.22117272708547E-5</v>
      </c>
    </row>
    <row r="18" spans="2:33">
      <c r="B18" s="26">
        <f>y_half-(12)*(2*y_half)/(25-1)</f>
        <v>0</v>
      </c>
      <c r="C18" s="27">
        <f t="shared" si="3"/>
        <v>0.1</v>
      </c>
      <c r="D18" s="27">
        <f t="shared" si="3"/>
        <v>7.4869990391071478E-2</v>
      </c>
      <c r="E18" s="27">
        <f t="shared" si="3"/>
        <v>5.6054442714892412E-2</v>
      </c>
      <c r="F18" s="27">
        <f t="shared" si="3"/>
        <v>4.1953169607941598E-2</v>
      </c>
      <c r="G18" s="27">
        <f t="shared" si="3"/>
        <v>3.1358198902891488E-2</v>
      </c>
      <c r="H18" s="27">
        <f t="shared" si="3"/>
        <v>2.3389848500242044E-2</v>
      </c>
      <c r="I18" s="27">
        <f t="shared" si="3"/>
        <v>1.7406980033622527E-2</v>
      </c>
      <c r="J18" s="27">
        <f t="shared" si="3"/>
        <v>1.2928353000415995E-2</v>
      </c>
      <c r="K18" s="27">
        <f t="shared" si="3"/>
        <v>9.5863234171252535E-3</v>
      </c>
      <c r="L18" s="27">
        <f t="shared" si="3"/>
        <v>7.099317905530738E-3</v>
      </c>
      <c r="M18" s="27">
        <f t="shared" si="4"/>
        <v>5.2526880456565629E-3</v>
      </c>
      <c r="N18" s="27">
        <f t="shared" si="4"/>
        <v>3.8838712370337296E-3</v>
      </c>
      <c r="O18" s="27">
        <f t="shared" si="4"/>
        <v>2.8705094249468041E-3</v>
      </c>
      <c r="P18" s="27">
        <f t="shared" si="4"/>
        <v>2.1209759182335966E-3</v>
      </c>
      <c r="Q18" s="27">
        <f t="shared" si="4"/>
        <v>1.5669311736100932E-3</v>
      </c>
      <c r="R18" s="27">
        <f t="shared" si="4"/>
        <v>1.1575590525865159E-3</v>
      </c>
      <c r="S18" s="27">
        <f t="shared" si="4"/>
        <v>8.5515897898160071E-4</v>
      </c>
      <c r="T18" s="27">
        <f t="shared" si="4"/>
        <v>6.3180720853828881E-4</v>
      </c>
      <c r="U18" s="27">
        <f t="shared" si="4"/>
        <v>4.6684613513080811E-4</v>
      </c>
      <c r="V18" s="27">
        <f t="shared" si="4"/>
        <v>3.4500641737383788E-4</v>
      </c>
      <c r="W18" s="27">
        <f t="shared" si="5"/>
        <v>2.5500800664613469E-4</v>
      </c>
      <c r="X18" s="27">
        <f t="shared" si="5"/>
        <v>1.88520993920063E-4</v>
      </c>
      <c r="Y18" s="27">
        <f t="shared" si="5"/>
        <v>1.3939538001459488E-4</v>
      </c>
      <c r="Z18" s="27">
        <f t="shared" si="5"/>
        <v>1.0309105905227276E-4</v>
      </c>
      <c r="AA18" s="27">
        <f t="shared" si="5"/>
        <v>7.6256438851489406E-5</v>
      </c>
      <c r="AB18" s="27">
        <f t="shared" si="5"/>
        <v>5.6417180800325285E-5</v>
      </c>
      <c r="AC18" s="27">
        <f t="shared" si="5"/>
        <v>4.1746401360305088E-5</v>
      </c>
      <c r="AD18" s="27">
        <f t="shared" si="5"/>
        <v>3.0895071169398711E-5</v>
      </c>
      <c r="AE18" s="27">
        <f t="shared" si="5"/>
        <v>2.2866865182402112E-5</v>
      </c>
      <c r="AF18" s="27">
        <f t="shared" si="5"/>
        <v>1.6925819822431433E-5</v>
      </c>
      <c r="AG18" s="27">
        <f t="shared" si="5"/>
        <v>1.2528195608372545E-5</v>
      </c>
    </row>
    <row r="19" spans="2:33">
      <c r="B19" s="26">
        <f>y_half-(13)*(2*y_half)/(25-1)</f>
        <v>-12.5</v>
      </c>
      <c r="C19" s="27">
        <f t="shared" si="3"/>
        <v>0.1</v>
      </c>
      <c r="D19" s="27">
        <f t="shared" si="3"/>
        <v>7.4869853542610956E-2</v>
      </c>
      <c r="E19" s="27">
        <f t="shared" si="3"/>
        <v>5.6025422472500162E-2</v>
      </c>
      <c r="F19" s="27">
        <f t="shared" si="3"/>
        <v>4.1810618585483204E-2</v>
      </c>
      <c r="G19" s="27">
        <f t="shared" si="3"/>
        <v>3.1096154677319826E-2</v>
      </c>
      <c r="H19" s="27">
        <f t="shared" si="3"/>
        <v>2.3067276772936032E-2</v>
      </c>
      <c r="I19" s="27">
        <f t="shared" si="3"/>
        <v>1.7081923732868341E-2</v>
      </c>
      <c r="J19" s="27">
        <f t="shared" si="3"/>
        <v>1.2635618718943262E-2</v>
      </c>
      <c r="K19" s="27">
        <f t="shared" si="3"/>
        <v>9.3400948856845641E-3</v>
      </c>
      <c r="L19" s="27">
        <f t="shared" si="3"/>
        <v>6.9010904194834882E-3</v>
      </c>
      <c r="M19" s="27">
        <f t="shared" si="4"/>
        <v>5.0977176921932167E-3</v>
      </c>
      <c r="N19" s="27">
        <f t="shared" si="4"/>
        <v>3.7651479909448344E-3</v>
      </c>
      <c r="O19" s="27">
        <f t="shared" si="4"/>
        <v>2.780849239530698E-3</v>
      </c>
      <c r="P19" s="27">
        <f t="shared" si="4"/>
        <v>2.0539598637807298E-3</v>
      </c>
      <c r="Q19" s="27">
        <f t="shared" si="4"/>
        <v>1.517216934659108E-3</v>
      </c>
      <c r="R19" s="27">
        <f t="shared" si="4"/>
        <v>1.1208846055497344E-3</v>
      </c>
      <c r="S19" s="27">
        <f t="shared" si="4"/>
        <v>8.2821578283209492E-4</v>
      </c>
      <c r="T19" s="27">
        <f t="shared" si="4"/>
        <v>6.1207409343401768E-4</v>
      </c>
      <c r="U19" s="27">
        <f t="shared" si="4"/>
        <v>4.5242678881447909E-4</v>
      </c>
      <c r="V19" s="27">
        <f t="shared" si="4"/>
        <v>3.3448782233265635E-4</v>
      </c>
      <c r="W19" s="27">
        <f t="shared" si="5"/>
        <v>2.4734446132276762E-4</v>
      </c>
      <c r="X19" s="27">
        <f t="shared" si="5"/>
        <v>1.8294254435639678E-4</v>
      </c>
      <c r="Y19" s="27">
        <f t="shared" si="5"/>
        <v>1.3533724506850981E-4</v>
      </c>
      <c r="Z19" s="27">
        <f t="shared" si="5"/>
        <v>1.0014012539755267E-4</v>
      </c>
      <c r="AA19" s="27">
        <f t="shared" si="5"/>
        <v>7.4111167482663083E-5</v>
      </c>
      <c r="AB19" s="27">
        <f t="shared" si="5"/>
        <v>5.4857816001884762E-5</v>
      </c>
      <c r="AC19" s="27">
        <f t="shared" si="5"/>
        <v>4.0612971958318182E-5</v>
      </c>
      <c r="AD19" s="27">
        <f t="shared" si="5"/>
        <v>3.0071220796801975E-5</v>
      </c>
      <c r="AE19" s="27">
        <f t="shared" si="5"/>
        <v>2.2268008084197836E-5</v>
      </c>
      <c r="AF19" s="27">
        <f t="shared" si="5"/>
        <v>1.6490487558268416E-5</v>
      </c>
      <c r="AG19" s="27">
        <f t="shared" si="5"/>
        <v>1.22117272708547E-5</v>
      </c>
    </row>
    <row r="20" spans="2:33">
      <c r="B20" s="26">
        <f>y_half-(14)*(2*y_half)/(25-1)</f>
        <v>-25</v>
      </c>
      <c r="C20" s="27">
        <f t="shared" si="3"/>
        <v>0.1</v>
      </c>
      <c r="D20" s="27">
        <f t="shared" si="3"/>
        <v>7.4794213629459844E-2</v>
      </c>
      <c r="E20" s="27">
        <f t="shared" si="3"/>
        <v>5.5240514305411915E-2</v>
      </c>
      <c r="F20" s="27">
        <f t="shared" si="3"/>
        <v>4.0400208382742608E-2</v>
      </c>
      <c r="G20" s="27">
        <f t="shared" si="3"/>
        <v>2.9493212027587975E-2</v>
      </c>
      <c r="H20" s="27">
        <f t="shared" si="3"/>
        <v>2.1555241892026299E-2</v>
      </c>
      <c r="I20" s="27">
        <f t="shared" si="3"/>
        <v>1.578365150593344E-2</v>
      </c>
      <c r="J20" s="27">
        <f t="shared" si="3"/>
        <v>1.1579606001991845E-2</v>
      </c>
      <c r="K20" s="27">
        <f t="shared" si="3"/>
        <v>8.5097810457181854E-3</v>
      </c>
      <c r="L20" s="27">
        <f t="shared" si="3"/>
        <v>6.2627737753108313E-3</v>
      </c>
      <c r="M20" s="27">
        <f t="shared" si="4"/>
        <v>4.6145750952584583E-3</v>
      </c>
      <c r="N20" s="27">
        <f t="shared" si="4"/>
        <v>3.4034741727870144E-3</v>
      </c>
      <c r="O20" s="27">
        <f t="shared" si="4"/>
        <v>2.5122630101282544E-3</v>
      </c>
      <c r="P20" s="27">
        <f t="shared" si="4"/>
        <v>1.8556708928697948E-3</v>
      </c>
      <c r="Q20" s="27">
        <f t="shared" si="4"/>
        <v>1.3714621349100273E-3</v>
      </c>
      <c r="R20" s="27">
        <f t="shared" si="4"/>
        <v>1.0140922293072295E-3</v>
      </c>
      <c r="S20" s="27">
        <f t="shared" si="4"/>
        <v>7.5015906709360099E-4</v>
      </c>
      <c r="T20" s="27">
        <f t="shared" si="4"/>
        <v>5.5512275152750203E-4</v>
      </c>
      <c r="U20" s="27">
        <f t="shared" si="4"/>
        <v>4.1092871835714657E-4</v>
      </c>
      <c r="V20" s="27">
        <f t="shared" si="4"/>
        <v>3.0427849834692937E-4</v>
      </c>
      <c r="W20" s="27">
        <f t="shared" si="5"/>
        <v>2.2536756587134566E-4</v>
      </c>
      <c r="X20" s="27">
        <f t="shared" si="5"/>
        <v>1.6696170268400322E-4</v>
      </c>
      <c r="Y20" s="27">
        <f t="shared" si="5"/>
        <v>1.2371967005978969E-4</v>
      </c>
      <c r="Z20" s="27">
        <f t="shared" si="5"/>
        <v>9.1695669410221315E-5</v>
      </c>
      <c r="AA20" s="27">
        <f t="shared" si="5"/>
        <v>6.7973370979901022E-5</v>
      </c>
      <c r="AB20" s="27">
        <f t="shared" si="5"/>
        <v>5.0396419923677045E-5</v>
      </c>
      <c r="AC20" s="27">
        <f t="shared" si="5"/>
        <v>3.7369804427073131E-5</v>
      </c>
      <c r="AD20" s="27">
        <f t="shared" si="5"/>
        <v>2.771334085106743E-5</v>
      </c>
      <c r="AE20" s="27">
        <f t="shared" si="5"/>
        <v>2.0553531157625798E-5</v>
      </c>
      <c r="AF20" s="27">
        <f t="shared" si="5"/>
        <v>1.5243698110988622E-5</v>
      </c>
      <c r="AG20" s="27">
        <f t="shared" si="5"/>
        <v>1.130497491356879E-5</v>
      </c>
    </row>
    <row r="21" spans="2:33">
      <c r="B21" s="26">
        <f>y_half-(15)*(2*y_half)/(25-1)</f>
        <v>-37.5</v>
      </c>
      <c r="C21" s="27">
        <f t="shared" si="3"/>
        <v>0.1</v>
      </c>
      <c r="D21" s="27">
        <f t="shared" si="3"/>
        <v>7.027479477224706E-2</v>
      </c>
      <c r="E21" s="27">
        <f t="shared" si="3"/>
        <v>4.8343589064464065E-2</v>
      </c>
      <c r="F21" s="27">
        <f t="shared" si="3"/>
        <v>3.4143308489441138E-2</v>
      </c>
      <c r="G21" s="27">
        <f t="shared" si="3"/>
        <v>2.4504078766809809E-2</v>
      </c>
      <c r="H21" s="27">
        <f t="shared" si="3"/>
        <v>1.7760910854693022E-2</v>
      </c>
      <c r="I21" s="27">
        <f t="shared" si="3"/>
        <v>1.2957708402779372E-2</v>
      </c>
      <c r="J21" s="27">
        <f t="shared" si="3"/>
        <v>9.4966685998215724E-3</v>
      </c>
      <c r="K21" s="27">
        <f t="shared" si="3"/>
        <v>6.9831800735901542E-3</v>
      </c>
      <c r="L21" s="27">
        <f t="shared" si="3"/>
        <v>5.1476640696252818E-3</v>
      </c>
      <c r="M21" s="27">
        <f t="shared" si="4"/>
        <v>3.801769490095184E-3</v>
      </c>
      <c r="N21" s="27">
        <f t="shared" si="4"/>
        <v>2.8118569077663523E-3</v>
      </c>
      <c r="O21" s="27">
        <f t="shared" si="4"/>
        <v>2.082060179057663E-3</v>
      </c>
      <c r="P21" s="27">
        <f t="shared" si="4"/>
        <v>1.5430520598056824E-3</v>
      </c>
      <c r="Q21" s="27">
        <f t="shared" si="4"/>
        <v>1.144391198135598E-3</v>
      </c>
      <c r="R21" s="27">
        <f t="shared" si="4"/>
        <v>8.4920581947491133E-4</v>
      </c>
      <c r="S21" s="27">
        <f t="shared" si="4"/>
        <v>6.3044589810647687E-4</v>
      </c>
      <c r="T21" s="27">
        <f t="shared" si="4"/>
        <v>4.6821104068873966E-4</v>
      </c>
      <c r="U21" s="27">
        <f t="shared" si="4"/>
        <v>3.4782850512219315E-4</v>
      </c>
      <c r="V21" s="27">
        <f t="shared" si="4"/>
        <v>2.5846120838601491E-4</v>
      </c>
      <c r="W21" s="27">
        <f t="shared" si="5"/>
        <v>1.9209409119458467E-4</v>
      </c>
      <c r="X21" s="27">
        <f t="shared" si="5"/>
        <v>1.4279283067959549E-4</v>
      </c>
      <c r="Y21" s="27">
        <f t="shared" si="5"/>
        <v>1.0615988842689589E-4</v>
      </c>
      <c r="Z21" s="27">
        <f t="shared" si="5"/>
        <v>7.8934292884664397E-5</v>
      </c>
      <c r="AA21" s="27">
        <f t="shared" si="5"/>
        <v>5.8696551476259673E-5</v>
      </c>
      <c r="AB21" s="27">
        <f t="shared" si="5"/>
        <v>4.3650711200293865E-5</v>
      </c>
      <c r="AC21" s="27">
        <f t="shared" si="5"/>
        <v>3.2463182890557771E-5</v>
      </c>
      <c r="AD21" s="27">
        <f t="shared" si="5"/>
        <v>2.4143417749745372E-5</v>
      </c>
      <c r="AE21" s="27">
        <f t="shared" si="5"/>
        <v>1.7955493015305305E-5</v>
      </c>
      <c r="AF21" s="27">
        <f t="shared" si="5"/>
        <v>1.3352554980505024E-5</v>
      </c>
      <c r="AG21" s="27">
        <f t="shared" si="5"/>
        <v>9.9281827867575999E-6</v>
      </c>
    </row>
    <row r="22" spans="2:33">
      <c r="B22" s="26">
        <f>y_half-(16)*(2*y_half)/(25-1)</f>
        <v>-50</v>
      </c>
      <c r="C22" s="27">
        <f t="shared" si="3"/>
        <v>0.1</v>
      </c>
      <c r="D22" s="27">
        <f t="shared" si="3"/>
        <v>3.7434995220570359E-2</v>
      </c>
      <c r="E22" s="27">
        <f t="shared" si="3"/>
        <v>2.8027577343242561E-2</v>
      </c>
      <c r="F22" s="27">
        <f t="shared" si="3"/>
        <v>2.0984244477628318E-2</v>
      </c>
      <c r="G22" s="27">
        <f t="shared" si="3"/>
        <v>1.5710901823779502E-2</v>
      </c>
      <c r="H22" s="27">
        <f t="shared" si="3"/>
        <v>1.1762750305777366E-2</v>
      </c>
      <c r="I22" s="27">
        <f t="shared" si="3"/>
        <v>8.8067662348845759E-3</v>
      </c>
      <c r="J22" s="27">
        <f t="shared" si="3"/>
        <v>6.5936079049556725E-3</v>
      </c>
      <c r="K22" s="27">
        <f t="shared" si="3"/>
        <v>4.9365860210749818E-3</v>
      </c>
      <c r="L22" s="27">
        <f t="shared" si="3"/>
        <v>3.6959256506310153E-3</v>
      </c>
      <c r="M22" s="27">
        <f t="shared" si="4"/>
        <v>2.7669846084457748E-3</v>
      </c>
      <c r="N22" s="27">
        <f t="shared" si="4"/>
        <v>2.0714283886475952E-3</v>
      </c>
      <c r="O22" s="27">
        <f t="shared" si="4"/>
        <v>1.5506178017609229E-3</v>
      </c>
      <c r="P22" s="27">
        <f t="shared" si="4"/>
        <v>1.1606555185271117E-3</v>
      </c>
      <c r="Q22" s="27">
        <f t="shared" si="4"/>
        <v>8.6867711463296034E-4</v>
      </c>
      <c r="R22" s="27">
        <f t="shared" si="4"/>
        <v>6.5007528069601403E-4</v>
      </c>
      <c r="S22" s="27">
        <f t="shared" si="4"/>
        <v>4.8642305230613651E-4</v>
      </c>
      <c r="T22" s="27">
        <f t="shared" si="4"/>
        <v>3.6392016241177923E-4</v>
      </c>
      <c r="U22" s="27">
        <f t="shared" si="4"/>
        <v>2.7223062817599276E-4</v>
      </c>
      <c r="V22" s="27">
        <f t="shared" si="4"/>
        <v>2.0361285792066101E-4</v>
      </c>
      <c r="W22" s="27">
        <f t="shared" si="5"/>
        <v>1.5226848259008083E-4</v>
      </c>
      <c r="X22" s="27">
        <f t="shared" si="5"/>
        <v>1.1385477687285301E-4</v>
      </c>
      <c r="Y22" s="27">
        <f t="shared" si="5"/>
        <v>8.5119479845738227E-5</v>
      </c>
      <c r="Z22" s="27">
        <f t="shared" si="5"/>
        <v>6.362723396399601E-5</v>
      </c>
      <c r="AA22" s="27">
        <f t="shared" si="5"/>
        <v>4.7554628570856551E-5</v>
      </c>
      <c r="AB22" s="27">
        <f t="shared" si="5"/>
        <v>3.5536631717746262E-5</v>
      </c>
      <c r="AC22" s="27">
        <f t="shared" si="5"/>
        <v>2.6551524022926516E-5</v>
      </c>
      <c r="AD22" s="27">
        <f t="shared" si="5"/>
        <v>1.9834684481267811E-5</v>
      </c>
      <c r="AE22" s="27">
        <f t="shared" si="5"/>
        <v>1.4813998697725022E-5</v>
      </c>
      <c r="AF22" s="27">
        <f t="shared" si="5"/>
        <v>1.106147179632205E-5</v>
      </c>
      <c r="AG22" s="27">
        <f t="shared" si="5"/>
        <v>8.256985192474554E-6</v>
      </c>
    </row>
    <row r="23" spans="2:33">
      <c r="B23" s="26">
        <f>y_half-(17)*(2*y_half)/(25-1)</f>
        <v>-62.5</v>
      </c>
      <c r="C23" s="27">
        <f t="shared" si="3"/>
        <v>0</v>
      </c>
      <c r="D23" s="27">
        <f t="shared" si="3"/>
        <v>4.5951956688936538E-3</v>
      </c>
      <c r="E23" s="27">
        <f t="shared" si="3"/>
        <v>7.7115656220204483E-3</v>
      </c>
      <c r="F23" s="27">
        <f t="shared" si="3"/>
        <v>7.8251804565152225E-3</v>
      </c>
      <c r="G23" s="27">
        <f t="shared" si="3"/>
        <v>6.9177238642795357E-3</v>
      </c>
      <c r="H23" s="27">
        <f t="shared" si="3"/>
        <v>5.7645745919253097E-3</v>
      </c>
      <c r="I23" s="27">
        <f t="shared" si="3"/>
        <v>4.6557412631330801E-3</v>
      </c>
      <c r="J23" s="27">
        <f t="shared" si="3"/>
        <v>3.6902937817132205E-3</v>
      </c>
      <c r="K23" s="27">
        <f t="shared" si="3"/>
        <v>2.889452863064378E-3</v>
      </c>
      <c r="L23" s="27">
        <f t="shared" si="3"/>
        <v>2.2432880562404819E-3</v>
      </c>
      <c r="M23" s="27">
        <f t="shared" si="4"/>
        <v>1.7309350150846636E-3</v>
      </c>
      <c r="N23" s="27">
        <f t="shared" si="4"/>
        <v>1.3294282403011274E-3</v>
      </c>
      <c r="O23" s="27">
        <f t="shared" si="4"/>
        <v>1.0173952449185392E-3</v>
      </c>
      <c r="P23" s="27">
        <f t="shared" si="4"/>
        <v>7.7638081226387402E-4</v>
      </c>
      <c r="Q23" s="27">
        <f t="shared" si="4"/>
        <v>5.9108853479968688E-4</v>
      </c>
      <c r="R23" s="27">
        <f t="shared" si="4"/>
        <v>4.4915475525508341E-4</v>
      </c>
      <c r="S23" s="27">
        <f t="shared" si="4"/>
        <v>3.4075080052839484E-4</v>
      </c>
      <c r="T23" s="27">
        <f t="shared" si="4"/>
        <v>2.5815309389793647E-4</v>
      </c>
      <c r="U23" s="27">
        <f t="shared" si="4"/>
        <v>1.9534305768773185E-4</v>
      </c>
      <c r="V23" s="27">
        <f t="shared" si="4"/>
        <v>1.4766020886306368E-4</v>
      </c>
      <c r="W23" s="27">
        <f t="shared" si="5"/>
        <v>1.1151322503797807E-4</v>
      </c>
      <c r="X23" s="27">
        <f t="shared" si="5"/>
        <v>8.4145297340910033E-5</v>
      </c>
      <c r="Y23" s="27">
        <f t="shared" si="5"/>
        <v>6.3446781470914959E-5</v>
      </c>
      <c r="Z23" s="27">
        <f t="shared" si="5"/>
        <v>4.7807398586026738E-5</v>
      </c>
      <c r="AA23" s="27">
        <f t="shared" si="5"/>
        <v>3.6000660545645858E-5</v>
      </c>
      <c r="AB23" s="27">
        <f t="shared" si="5"/>
        <v>2.7094095409639867E-5</v>
      </c>
      <c r="AC23" s="27">
        <f t="shared" si="5"/>
        <v>2.0379875115055178E-5</v>
      </c>
      <c r="AD23" s="27">
        <f t="shared" si="5"/>
        <v>1.5321429930301376E-5</v>
      </c>
      <c r="AE23" s="27">
        <f t="shared" si="5"/>
        <v>1.1512503164847872E-5</v>
      </c>
      <c r="AF23" s="27">
        <f t="shared" si="5"/>
        <v>8.6458340419479201E-6</v>
      </c>
      <c r="AG23" s="27">
        <f t="shared" si="5"/>
        <v>6.4892601199122957E-6</v>
      </c>
    </row>
    <row r="24" spans="2:33">
      <c r="B24" s="26">
        <f>y_half-(18)*(2*y_half)/(25-1)</f>
        <v>-75</v>
      </c>
      <c r="C24" s="27">
        <f t="shared" si="3"/>
        <v>0</v>
      </c>
      <c r="D24" s="27">
        <f t="shared" si="3"/>
        <v>7.5776811680875874E-5</v>
      </c>
      <c r="E24" s="27">
        <f t="shared" si="3"/>
        <v>8.1464037943647274E-4</v>
      </c>
      <c r="F24" s="27">
        <f t="shared" si="3"/>
        <v>1.5682786882029887E-3</v>
      </c>
      <c r="G24" s="27">
        <f t="shared" si="3"/>
        <v>1.9285341867399893E-3</v>
      </c>
      <c r="H24" s="27">
        <f t="shared" si="3"/>
        <v>1.9698530829282833E-3</v>
      </c>
      <c r="I24" s="27">
        <f t="shared" si="3"/>
        <v>1.8285100113188944E-3</v>
      </c>
      <c r="J24" s="27">
        <f t="shared" si="3"/>
        <v>1.6045817025086659E-3</v>
      </c>
      <c r="K24" s="27">
        <f t="shared" si="3"/>
        <v>1.3582795042472796E-3</v>
      </c>
      <c r="L24" s="27">
        <f t="shared" si="3"/>
        <v>1.1218804031871473E-3</v>
      </c>
      <c r="M24" s="27">
        <f t="shared" si="4"/>
        <v>9.1048146892794908E-4</v>
      </c>
      <c r="N24" s="27">
        <f t="shared" si="4"/>
        <v>7.2933924788229246E-4</v>
      </c>
      <c r="O24" s="27">
        <f t="shared" si="4"/>
        <v>5.7843502709531761E-4</v>
      </c>
      <c r="P24" s="27">
        <f t="shared" si="4"/>
        <v>4.5517929657433665E-4</v>
      </c>
      <c r="Q24" s="27">
        <f t="shared" si="4"/>
        <v>3.5595190807357263E-4</v>
      </c>
      <c r="R24" s="27">
        <f t="shared" si="4"/>
        <v>2.7693919891034542E-4</v>
      </c>
      <c r="S24" s="27">
        <f t="shared" si="4"/>
        <v>2.1455746652918444E-4</v>
      </c>
      <c r="T24" s="27">
        <f t="shared" si="4"/>
        <v>1.6563951698052965E-4</v>
      </c>
      <c r="U24" s="27">
        <f t="shared" si="4"/>
        <v>1.2749028860662738E-4</v>
      </c>
      <c r="V24" s="27">
        <f t="shared" si="4"/>
        <v>9.7874076816837266E-5</v>
      </c>
      <c r="W24" s="27">
        <f t="shared" si="5"/>
        <v>7.4969499729061171E-5</v>
      </c>
      <c r="X24" s="27">
        <f t="shared" si="5"/>
        <v>5.7312501725737728E-5</v>
      </c>
      <c r="Y24" s="27">
        <f t="shared" si="5"/>
        <v>4.3738294282562783E-5</v>
      </c>
      <c r="Z24" s="27">
        <f t="shared" si="5"/>
        <v>3.3327648280263904E-5</v>
      </c>
      <c r="AA24" s="27">
        <f t="shared" si="5"/>
        <v>2.5359824878680351E-5</v>
      </c>
      <c r="AB24" s="27">
        <f t="shared" si="5"/>
        <v>1.927271282150605E-5</v>
      </c>
      <c r="AC24" s="27">
        <f t="shared" si="5"/>
        <v>1.4629850448348043E-5</v>
      </c>
      <c r="AD24" s="27">
        <f t="shared" si="5"/>
        <v>1.1093600548292443E-5</v>
      </c>
      <c r="AE24" s="27">
        <f t="shared" si="5"/>
        <v>8.4036050284533383E-6</v>
      </c>
      <c r="AF24" s="27">
        <f t="shared" si="5"/>
        <v>6.3596490598376506E-6</v>
      </c>
      <c r="AG24" s="27">
        <f t="shared" si="5"/>
        <v>4.8081376951137826E-6</v>
      </c>
    </row>
    <row r="25" spans="2:33">
      <c r="B25" s="26">
        <f>y_half-(19)*(2*y_half)/(25-1)</f>
        <v>-87.5</v>
      </c>
      <c r="C25" s="27">
        <f t="shared" si="3"/>
        <v>0</v>
      </c>
      <c r="D25" s="27">
        <f t="shared" si="3"/>
        <v>1.3689852931601092E-7</v>
      </c>
      <c r="E25" s="27">
        <f t="shared" si="3"/>
        <v>2.97308528321864E-5</v>
      </c>
      <c r="F25" s="27">
        <f t="shared" si="3"/>
        <v>1.5769449255487834E-4</v>
      </c>
      <c r="G25" s="27">
        <f t="shared" si="3"/>
        <v>3.2385528238666522E-4</v>
      </c>
      <c r="H25" s="27">
        <f t="shared" si="3"/>
        <v>4.516546126122635E-4</v>
      </c>
      <c r="I25" s="27">
        <f t="shared" si="3"/>
        <v>5.1725301859871682E-4</v>
      </c>
      <c r="J25" s="27">
        <f t="shared" si="3"/>
        <v>5.2830576066127959E-4</v>
      </c>
      <c r="K25" s="27">
        <f t="shared" si="3"/>
        <v>5.0176961556032461E-4</v>
      </c>
      <c r="L25" s="27">
        <f t="shared" si="3"/>
        <v>4.5369727945332992E-4</v>
      </c>
      <c r="M25" s="27">
        <f t="shared" si="4"/>
        <v>3.9615512926979916E-4</v>
      </c>
      <c r="N25" s="27">
        <f t="shared" si="4"/>
        <v>3.3712208715302587E-4</v>
      </c>
      <c r="O25" s="27">
        <f t="shared" si="4"/>
        <v>2.8133061531109916E-4</v>
      </c>
      <c r="P25" s="27">
        <f t="shared" si="4"/>
        <v>2.3122361180257918E-4</v>
      </c>
      <c r="Q25" s="27">
        <f t="shared" si="4"/>
        <v>1.8775286675956865E-4</v>
      </c>
      <c r="R25" s="27">
        <f t="shared" si="4"/>
        <v>1.5096693452709359E-4</v>
      </c>
      <c r="S25" s="27">
        <f t="shared" si="4"/>
        <v>1.2041357898862918E-4</v>
      </c>
      <c r="T25" s="27">
        <f t="shared" si="4"/>
        <v>9.540062788925715E-5</v>
      </c>
      <c r="U25" s="27">
        <f t="shared" si="4"/>
        <v>7.5156485437150475E-5</v>
      </c>
      <c r="V25" s="27">
        <f t="shared" si="4"/>
        <v>5.8922966249216777E-5</v>
      </c>
      <c r="W25" s="27">
        <f t="shared" si="5"/>
        <v>4.6004271432033115E-5</v>
      </c>
      <c r="X25" s="27">
        <f t="shared" si="5"/>
        <v>3.5788635543257158E-5</v>
      </c>
      <c r="Y25" s="27">
        <f t="shared" si="5"/>
        <v>2.7753708477823036E-5</v>
      </c>
      <c r="Z25" s="27">
        <f t="shared" si="5"/>
        <v>2.1462855129876508E-5</v>
      </c>
      <c r="AA25" s="27">
        <f t="shared" si="5"/>
        <v>1.6556895672431495E-5</v>
      </c>
      <c r="AB25" s="27">
        <f t="shared" si="5"/>
        <v>1.2744035414683207E-5</v>
      </c>
      <c r="AC25" s="27">
        <f t="shared" si="5"/>
        <v>9.7895784553570876E-6</v>
      </c>
      <c r="AD25" s="27">
        <f t="shared" si="5"/>
        <v>7.5062857672932472E-6</v>
      </c>
      <c r="AE25" s="27">
        <f t="shared" si="5"/>
        <v>5.7457851651110108E-6</v>
      </c>
      <c r="AF25" s="27">
        <f t="shared" si="5"/>
        <v>4.3911705169414184E-6</v>
      </c>
      <c r="AG25" s="27">
        <f t="shared" si="5"/>
        <v>3.3507746807924677E-6</v>
      </c>
    </row>
    <row r="26" spans="2:33">
      <c r="B26" s="26">
        <f>y_half-(20)*(2*y_half)/(25-1)</f>
        <v>-100</v>
      </c>
      <c r="C26" s="27">
        <f t="shared" si="3"/>
        <v>0</v>
      </c>
      <c r="D26" s="27">
        <f t="shared" si="3"/>
        <v>2.5034621876178011E-11</v>
      </c>
      <c r="E26" s="27">
        <f t="shared" si="3"/>
        <v>3.5598579635453575E-7</v>
      </c>
      <c r="F26" s="27">
        <f t="shared" si="3"/>
        <v>7.6596736788372524E-6</v>
      </c>
      <c r="G26" s="27">
        <f t="shared" si="3"/>
        <v>3.1802382840408184E-5</v>
      </c>
      <c r="H26" s="27">
        <f t="shared" si="3"/>
        <v>6.7826450851658332E-5</v>
      </c>
      <c r="I26" s="27">
        <f t="shared" si="3"/>
        <v>1.0328030749593952E-4</v>
      </c>
      <c r="J26" s="27">
        <f t="shared" si="3"/>
        <v>1.2945159764543183E-4</v>
      </c>
      <c r="K26" s="27">
        <f t="shared" si="3"/>
        <v>1.4348701392694524E-4</v>
      </c>
      <c r="L26" s="27">
        <f t="shared" si="3"/>
        <v>1.4640946491528256E-4</v>
      </c>
      <c r="M26" s="27">
        <f t="shared" si="4"/>
        <v>1.4090202552579856E-4</v>
      </c>
      <c r="N26" s="27">
        <f t="shared" si="4"/>
        <v>1.2990117546502963E-4</v>
      </c>
      <c r="O26" s="27">
        <f t="shared" si="4"/>
        <v>1.1592916353462507E-4</v>
      </c>
      <c r="P26" s="27">
        <f t="shared" si="4"/>
        <v>1.0088299108782308E-4</v>
      </c>
      <c r="Q26" s="27">
        <f t="shared" si="4"/>
        <v>8.6052254164221945E-5</v>
      </c>
      <c r="R26" s="27">
        <f t="shared" si="4"/>
        <v>7.2227637126545395E-5</v>
      </c>
      <c r="S26" s="27">
        <f t="shared" si="4"/>
        <v>5.9828406690512034E-5</v>
      </c>
      <c r="T26" s="27">
        <f t="shared" si="4"/>
        <v>4.9017152250782791E-5</v>
      </c>
      <c r="U26" s="27">
        <f t="shared" si="4"/>
        <v>3.979117903091623E-5</v>
      </c>
      <c r="V26" s="27">
        <f t="shared" si="4"/>
        <v>3.2049986775117771E-5</v>
      </c>
      <c r="W26" s="27">
        <f t="shared" si="5"/>
        <v>2.5642291257848944E-5</v>
      </c>
      <c r="X26" s="27">
        <f t="shared" si="5"/>
        <v>2.0397099352848619E-5</v>
      </c>
      <c r="Y26" s="27">
        <f t="shared" si="5"/>
        <v>1.6143083665106772E-5</v>
      </c>
      <c r="Z26" s="27">
        <f t="shared" si="5"/>
        <v>1.271976340867304E-5</v>
      </c>
      <c r="AA26" s="27">
        <f t="shared" si="5"/>
        <v>9.9831826574349849E-6</v>
      </c>
      <c r="AB26" s="27">
        <f t="shared" si="5"/>
        <v>7.8080513073218457E-6</v>
      </c>
      <c r="AC26" s="27">
        <f t="shared" si="5"/>
        <v>6.0877296547448176E-6</v>
      </c>
      <c r="AD26" s="27">
        <f t="shared" si="5"/>
        <v>4.7329941500614061E-6</v>
      </c>
      <c r="AE26" s="27">
        <f t="shared" si="5"/>
        <v>3.6701992415282018E-6</v>
      </c>
      <c r="AF26" s="27">
        <f t="shared" si="5"/>
        <v>2.8392229645958374E-6</v>
      </c>
      <c r="AG26" s="27">
        <f t="shared" si="5"/>
        <v>2.1914283955519395E-6</v>
      </c>
    </row>
    <row r="27" spans="2:33">
      <c r="B27" s="26">
        <f>y_half-(21)*(2*y_half)/(25-1)</f>
        <v>-112.5</v>
      </c>
      <c r="C27" s="27">
        <f t="shared" si="3"/>
        <v>0</v>
      </c>
      <c r="D27" s="27">
        <f t="shared" si="3"/>
        <v>4.4886089110258694E-16</v>
      </c>
      <c r="E27" s="27">
        <f t="shared" si="3"/>
        <v>1.3611527721824874E-9</v>
      </c>
      <c r="F27" s="27">
        <f t="shared" si="3"/>
        <v>1.7587726119063842E-7</v>
      </c>
      <c r="G27" s="27">
        <f t="shared" si="3"/>
        <v>1.7937088658126173E-6</v>
      </c>
      <c r="H27" s="27">
        <f t="shared" si="3"/>
        <v>6.5700163966964089E-6</v>
      </c>
      <c r="I27" s="27">
        <f t="shared" si="3"/>
        <v>1.4363897111166686E-5</v>
      </c>
      <c r="J27" s="27">
        <f t="shared" si="3"/>
        <v>2.3331715216762141E-5</v>
      </c>
      <c r="K27" s="27">
        <f t="shared" si="3"/>
        <v>3.1432934690776742E-5</v>
      </c>
      <c r="L27" s="27">
        <f t="shared" si="3"/>
        <v>3.7349084965309437E-5</v>
      </c>
      <c r="M27" s="27">
        <f t="shared" si="4"/>
        <v>4.0619081052121719E-5</v>
      </c>
      <c r="N27" s="27">
        <f t="shared" si="4"/>
        <v>4.140296665874248E-5</v>
      </c>
      <c r="O27" s="27">
        <f t="shared" si="4"/>
        <v>4.0186683816099751E-5</v>
      </c>
      <c r="P27" s="27">
        <f t="shared" si="4"/>
        <v>3.7556145731918223E-5</v>
      </c>
      <c r="Q27" s="27">
        <f t="shared" si="4"/>
        <v>3.4062144799578401E-5</v>
      </c>
      <c r="R27" s="27">
        <f t="shared" si="4"/>
        <v>3.0157295729412322E-5</v>
      </c>
      <c r="S27" s="27">
        <f t="shared" si="4"/>
        <v>2.6179043139207312E-5</v>
      </c>
      <c r="T27" s="27">
        <f t="shared" si="4"/>
        <v>2.2357551173306062E-5</v>
      </c>
      <c r="U27" s="27">
        <f t="shared" si="4"/>
        <v>1.8834340291824131E-5</v>
      </c>
      <c r="V27" s="27">
        <f t="shared" si="4"/>
        <v>1.5683431650608715E-5</v>
      </c>
      <c r="W27" s="27">
        <f t="shared" si="5"/>
        <v>1.293081653877438E-5</v>
      </c>
      <c r="X27" s="27">
        <f t="shared" si="5"/>
        <v>1.057054900018741E-5</v>
      </c>
      <c r="Y27" s="27">
        <f t="shared" si="5"/>
        <v>8.5771285728733082E-6</v>
      </c>
      <c r="Z27" s="27">
        <f t="shared" si="5"/>
        <v>6.9145058967553669E-6</v>
      </c>
      <c r="AA27" s="27">
        <f t="shared" si="5"/>
        <v>5.5423013079242672E-6</v>
      </c>
      <c r="AB27" s="27">
        <f t="shared" si="5"/>
        <v>4.4198664860421598E-6</v>
      </c>
      <c r="AC27" s="27">
        <f t="shared" si="5"/>
        <v>3.5087567509439494E-6</v>
      </c>
      <c r="AD27" s="27">
        <f t="shared" si="5"/>
        <v>2.7740813806899198E-6</v>
      </c>
      <c r="AE27" s="27">
        <f t="shared" si="5"/>
        <v>2.1850949042522945E-6</v>
      </c>
      <c r="AF27" s="27">
        <f t="shared" si="5"/>
        <v>1.7152991128731333E-6</v>
      </c>
      <c r="AG27" s="27">
        <f t="shared" si="5"/>
        <v>1.3422489597464845E-6</v>
      </c>
    </row>
    <row r="28" spans="2:33">
      <c r="B28" s="26">
        <f>y_half-(22)*(2*y_half)/(25-1)</f>
        <v>-125</v>
      </c>
      <c r="C28" s="27">
        <f t="shared" si="3"/>
        <v>0</v>
      </c>
      <c r="D28" s="27">
        <f t="shared" si="3"/>
        <v>0</v>
      </c>
      <c r="E28" s="27">
        <f t="shared" si="3"/>
        <v>1.6367282548259173E-12</v>
      </c>
      <c r="F28" s="27">
        <f t="shared" si="3"/>
        <v>1.8843536794109364E-9</v>
      </c>
      <c r="G28" s="27">
        <f t="shared" si="3"/>
        <v>5.7454244154948847E-8</v>
      </c>
      <c r="H28" s="27">
        <f t="shared" si="3"/>
        <v>4.0642693045529112E-7</v>
      </c>
      <c r="I28" s="27">
        <f t="shared" si="3"/>
        <v>1.3791287517464383E-6</v>
      </c>
      <c r="J28" s="27">
        <f t="shared" si="3"/>
        <v>3.0684553940922297E-6</v>
      </c>
      <c r="K28" s="27">
        <f t="shared" si="3"/>
        <v>5.2366558429449719E-6</v>
      </c>
      <c r="L28" s="27">
        <f t="shared" si="3"/>
        <v>7.4816699962509004E-6</v>
      </c>
      <c r="M28" s="27">
        <f t="shared" si="4"/>
        <v>9.4326293975804021E-6</v>
      </c>
      <c r="N28" s="27">
        <f t="shared" si="4"/>
        <v>1.0853496848825512E-5</v>
      </c>
      <c r="O28" s="27">
        <f t="shared" si="4"/>
        <v>1.1656991602451171E-5</v>
      </c>
      <c r="P28" s="27">
        <f t="shared" si="4"/>
        <v>1.1870694395364593E-5</v>
      </c>
      <c r="Q28" s="27">
        <f t="shared" si="4"/>
        <v>1.1590649266326559E-5</v>
      </c>
      <c r="R28" s="27">
        <f t="shared" si="4"/>
        <v>1.0941187540516205E-5</v>
      </c>
      <c r="S28" s="27">
        <f t="shared" si="4"/>
        <v>1.0047144022851402E-5</v>
      </c>
      <c r="T28" s="27">
        <f t="shared" si="4"/>
        <v>9.0180170281812001E-6</v>
      </c>
      <c r="U28" s="27">
        <f t="shared" si="4"/>
        <v>7.9411601979667227E-6</v>
      </c>
      <c r="V28" s="27">
        <f t="shared" si="4"/>
        <v>6.8808113577546393E-6</v>
      </c>
      <c r="W28" s="27">
        <f t="shared" si="5"/>
        <v>5.8803573662773713E-6</v>
      </c>
      <c r="X28" s="27">
        <f t="shared" si="5"/>
        <v>4.9660208469657217E-6</v>
      </c>
      <c r="Y28" s="27">
        <f t="shared" si="5"/>
        <v>4.1508454595340881E-6</v>
      </c>
      <c r="Z28" s="27">
        <f t="shared" si="5"/>
        <v>3.4383674960759257E-6</v>
      </c>
      <c r="AA28" s="27">
        <f t="shared" si="5"/>
        <v>2.8257003160294681E-6</v>
      </c>
      <c r="AB28" s="27">
        <f t="shared" si="5"/>
        <v>2.3059621519082104E-6</v>
      </c>
      <c r="AC28" s="27">
        <f t="shared" si="5"/>
        <v>1.8700878994684723E-6</v>
      </c>
      <c r="AD28" s="27">
        <f t="shared" si="5"/>
        <v>1.5081153968085185E-6</v>
      </c>
      <c r="AE28" s="27">
        <f t="shared" si="5"/>
        <v>1.2100509886779274E-6</v>
      </c>
      <c r="AF28" s="27">
        <f t="shared" si="5"/>
        <v>9.6641435628335302E-7</v>
      </c>
      <c r="AG28" s="27">
        <f t="shared" si="5"/>
        <v>7.685489980891642E-7</v>
      </c>
    </row>
    <row r="29" spans="2:33">
      <c r="B29" s="26">
        <f>y_half-(23)*(2*y_half)/(25-1)</f>
        <v>-137.5</v>
      </c>
      <c r="C29" s="27">
        <f t="shared" si="3"/>
        <v>0</v>
      </c>
      <c r="D29" s="27">
        <f t="shared" si="3"/>
        <v>0</v>
      </c>
      <c r="E29" s="27">
        <f t="shared" si="3"/>
        <v>6.1300217531132623E-16</v>
      </c>
      <c r="F29" s="27">
        <f t="shared" si="3"/>
        <v>9.3428936239668571E-12</v>
      </c>
      <c r="G29" s="27">
        <f t="shared" si="3"/>
        <v>1.0374234923184255E-9</v>
      </c>
      <c r="H29" s="27">
        <f t="shared" si="3"/>
        <v>1.5949164528920819E-8</v>
      </c>
      <c r="I29" s="27">
        <f t="shared" si="3"/>
        <v>9.0857345277224498E-8</v>
      </c>
      <c r="J29" s="27">
        <f t="shared" si="3"/>
        <v>2.9281081197769108E-7</v>
      </c>
      <c r="K29" s="27">
        <f t="shared" si="3"/>
        <v>6.6003195411375918E-7</v>
      </c>
      <c r="L29" s="27">
        <f t="shared" si="3"/>
        <v>1.1711980400065456E-6</v>
      </c>
      <c r="M29" s="27">
        <f t="shared" si="4"/>
        <v>1.7565932962564192E-6</v>
      </c>
      <c r="N29" s="27">
        <f t="shared" si="4"/>
        <v>2.3302249665656747E-6</v>
      </c>
      <c r="O29" s="27">
        <f t="shared" si="4"/>
        <v>2.8182938921198582E-6</v>
      </c>
      <c r="P29" s="27">
        <f t="shared" si="4"/>
        <v>3.1738255982534072E-6</v>
      </c>
      <c r="Q29" s="27">
        <f t="shared" si="4"/>
        <v>3.3786167483881379E-6</v>
      </c>
      <c r="R29" s="27">
        <f t="shared" si="4"/>
        <v>3.4377199325933301E-6</v>
      </c>
      <c r="S29" s="27">
        <f t="shared" si="4"/>
        <v>3.3713173311510371E-6</v>
      </c>
      <c r="T29" s="27">
        <f t="shared" si="4"/>
        <v>3.2070309767605319E-6</v>
      </c>
      <c r="U29" s="27">
        <f t="shared" si="4"/>
        <v>2.9740359937170331E-6</v>
      </c>
      <c r="V29" s="27">
        <f t="shared" si="4"/>
        <v>2.6992451068546112E-6</v>
      </c>
      <c r="W29" s="27">
        <f t="shared" si="5"/>
        <v>2.4052787289712194E-6</v>
      </c>
      <c r="X29" s="27">
        <f t="shared" si="5"/>
        <v>2.1097454276073011E-6</v>
      </c>
      <c r="Y29" s="27">
        <f t="shared" si="5"/>
        <v>1.8253651831249261E-6</v>
      </c>
      <c r="Z29" s="27">
        <f t="shared" si="5"/>
        <v>1.5605584381073897E-6</v>
      </c>
      <c r="AA29" s="27">
        <f t="shared" si="5"/>
        <v>1.3202328685647045E-6</v>
      </c>
      <c r="AB29" s="27">
        <f t="shared" si="5"/>
        <v>1.106596672252031E-6</v>
      </c>
      <c r="AC29" s="27">
        <f t="shared" si="5"/>
        <v>9.1990158634174498E-7</v>
      </c>
      <c r="AD29" s="27">
        <f t="shared" si="5"/>
        <v>7.5907053534185425E-7</v>
      </c>
      <c r="AE29" s="27">
        <f t="shared" si="5"/>
        <v>6.2219764142421439E-7</v>
      </c>
      <c r="AF29" s="27">
        <f t="shared" si="5"/>
        <v>5.0692717646539778E-7</v>
      </c>
      <c r="AG29" s="27">
        <f t="shared" si="5"/>
        <v>4.1072733707201982E-7</v>
      </c>
    </row>
    <row r="30" spans="2:33">
      <c r="B30" s="26">
        <f>y_half-(24)*(2*y_half)/(25-1)</f>
        <v>-150</v>
      </c>
      <c r="C30" s="27">
        <f t="shared" si="3"/>
        <v>0</v>
      </c>
      <c r="D30" s="27">
        <f t="shared" si="3"/>
        <v>0</v>
      </c>
      <c r="E30" s="27">
        <f t="shared" si="3"/>
        <v>0</v>
      </c>
      <c r="F30" s="27">
        <f t="shared" si="3"/>
        <v>2.1319259825844022E-14</v>
      </c>
      <c r="G30" s="27">
        <f t="shared" si="3"/>
        <v>1.0506652516920312E-11</v>
      </c>
      <c r="H30" s="27">
        <f t="shared" si="3"/>
        <v>3.9519531572764551E-10</v>
      </c>
      <c r="I30" s="27">
        <f t="shared" si="3"/>
        <v>4.0894229807991208E-9</v>
      </c>
      <c r="J30" s="27">
        <f t="shared" si="3"/>
        <v>2.0192914649756955E-8</v>
      </c>
      <c r="K30" s="27">
        <f t="shared" si="3"/>
        <v>6.2701702875663646E-8</v>
      </c>
      <c r="L30" s="27">
        <f t="shared" si="3"/>
        <v>1.4276952137781379E-7</v>
      </c>
      <c r="M30" s="27">
        <f t="shared" si="4"/>
        <v>2.6145298844916467E-7</v>
      </c>
      <c r="N30" s="27">
        <f t="shared" si="4"/>
        <v>4.0845404104794633E-7</v>
      </c>
      <c r="O30" s="27">
        <f t="shared" si="4"/>
        <v>5.6621353952614231E-7</v>
      </c>
      <c r="P30" s="27">
        <f t="shared" si="4"/>
        <v>7.157567318214256E-7</v>
      </c>
      <c r="Q30" s="27">
        <f t="shared" si="4"/>
        <v>8.4137273040349862E-7</v>
      </c>
      <c r="R30" s="27">
        <f t="shared" si="4"/>
        <v>9.3301347552067885E-7</v>
      </c>
      <c r="S30" s="27">
        <f t="shared" si="4"/>
        <v>9.866259901639473E-7</v>
      </c>
      <c r="T30" s="27">
        <f t="shared" si="4"/>
        <v>1.0031712549507929E-6</v>
      </c>
      <c r="U30" s="27">
        <f t="shared" si="4"/>
        <v>9.8708702662137235E-7</v>
      </c>
      <c r="V30" s="27">
        <f t="shared" si="4"/>
        <v>9.4473157896879618E-7</v>
      </c>
      <c r="W30" s="27">
        <f t="shared" si="5"/>
        <v>8.830985437767997E-7</v>
      </c>
      <c r="X30" s="27">
        <f t="shared" si="5"/>
        <v>8.0890424259692024E-7</v>
      </c>
      <c r="Y30" s="27">
        <f t="shared" si="5"/>
        <v>7.2803408573020014E-7</v>
      </c>
      <c r="Z30" s="27">
        <f t="shared" si="5"/>
        <v>6.4528008663898245E-7</v>
      </c>
      <c r="AA30" s="27">
        <f t="shared" si="5"/>
        <v>5.6428653117229401E-7</v>
      </c>
      <c r="AB30" s="27">
        <f t="shared" si="5"/>
        <v>4.8762737309381502E-7</v>
      </c>
      <c r="AC30" s="27">
        <f t="shared" si="5"/>
        <v>4.169545375620425E-7</v>
      </c>
      <c r="AD30" s="27">
        <f t="shared" si="5"/>
        <v>3.5317362700918068E-7</v>
      </c>
      <c r="AE30" s="27">
        <f t="shared" si="5"/>
        <v>2.9661885954306417E-7</v>
      </c>
      <c r="AF30" s="27">
        <f t="shared" si="5"/>
        <v>2.4721106494453035E-7</v>
      </c>
      <c r="AG30" s="27">
        <f t="shared" si="5"/>
        <v>2.0459112413913256E-7</v>
      </c>
    </row>
  </sheetData>
  <mergeCells count="2">
    <mergeCell ref="A2:L2"/>
    <mergeCell ref="A1:K1"/>
  </mergeCells>
  <conditionalFormatting sqref="C6:AG30">
    <cfRule type="colorScale" priority="1">
      <colorScale>
        <cfvo type="num" val="0"/>
        <cfvo type="percentile" val="80"/>
        <cfvo type="percentile" val="99"/>
        <color rgb="FFFFFFFF"/>
        <color rgb="FFFFD24D"/>
        <color rgb="FFC0392B"/>
      </colorScale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6C97"/>
  </sheetPr>
  <dimension ref="A1:AG30"/>
  <sheetViews>
    <sheetView showGridLines="0" workbookViewId="0">
      <selection sqref="A1:K1"/>
    </sheetView>
  </sheetViews>
  <sheetFormatPr defaultRowHeight="15"/>
  <cols>
    <col min="2" max="2" width="7" customWidth="1"/>
    <col min="3" max="33" width="5.140625" customWidth="1"/>
  </cols>
  <sheetData>
    <row r="1" spans="1:33">
      <c r="A1" s="51" t="s">
        <v>52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33">
      <c r="A2" s="50" t="str">
        <f>IF(mode=1,"t = "&amp;t_sim&amp;" yr   |   colour = concentration; rows = cross-gradient y (ft), columns = downgradient x (ft)","Steady state   |   colour = concentration")</f>
        <v>t = 33 yr   |   colour = concentration; rows = cross-gradient y (ft), columns = downgradient x (ft)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1:33">
      <c r="B4" s="24" t="s">
        <v>51</v>
      </c>
      <c r="C4" s="25">
        <f>Calc_x!B2</f>
        <v>0</v>
      </c>
      <c r="D4" s="25">
        <f>Calc_x!B3</f>
        <v>20</v>
      </c>
      <c r="E4" s="25">
        <f>Calc_x!B4</f>
        <v>40</v>
      </c>
      <c r="F4" s="25">
        <f>Calc_x!B5</f>
        <v>60</v>
      </c>
      <c r="G4" s="25">
        <f>Calc_x!B6</f>
        <v>80</v>
      </c>
      <c r="H4" s="25">
        <f>Calc_x!B7</f>
        <v>100</v>
      </c>
      <c r="I4" s="25">
        <f>Calc_x!B8</f>
        <v>120</v>
      </c>
      <c r="J4" s="25">
        <f>Calc_x!B9</f>
        <v>140</v>
      </c>
      <c r="K4" s="25">
        <f>Calc_x!B10</f>
        <v>160</v>
      </c>
      <c r="L4" s="25">
        <f>Calc_x!B11</f>
        <v>180</v>
      </c>
      <c r="M4" s="25">
        <f>Calc_x!B12</f>
        <v>200</v>
      </c>
      <c r="N4" s="25">
        <f>Calc_x!B13</f>
        <v>220</v>
      </c>
      <c r="O4" s="25">
        <f>Calc_x!B14</f>
        <v>240</v>
      </c>
      <c r="P4" s="25">
        <f>Calc_x!B15</f>
        <v>260</v>
      </c>
      <c r="Q4" s="25">
        <f>Calc_x!B16</f>
        <v>280</v>
      </c>
      <c r="R4" s="25">
        <f>Calc_x!B17</f>
        <v>300</v>
      </c>
      <c r="S4" s="25">
        <f>Calc_x!B18</f>
        <v>320</v>
      </c>
      <c r="T4" s="25">
        <f>Calc_x!B19</f>
        <v>340</v>
      </c>
      <c r="U4" s="25">
        <f>Calc_x!B20</f>
        <v>360</v>
      </c>
      <c r="V4" s="25">
        <f>Calc_x!B21</f>
        <v>380</v>
      </c>
      <c r="W4" s="25">
        <f>Calc_x!B22</f>
        <v>400</v>
      </c>
      <c r="X4" s="25">
        <f>Calc_x!B23</f>
        <v>420</v>
      </c>
      <c r="Y4" s="25">
        <f>Calc_x!B24</f>
        <v>440</v>
      </c>
      <c r="Z4" s="25">
        <f>Calc_x!B25</f>
        <v>460</v>
      </c>
      <c r="AA4" s="25">
        <f>Calc_x!B26</f>
        <v>480</v>
      </c>
      <c r="AB4" s="25">
        <f>Calc_x!B27</f>
        <v>500</v>
      </c>
      <c r="AC4" s="25">
        <f>Calc_x!B28</f>
        <v>520</v>
      </c>
      <c r="AD4" s="25">
        <f>Calc_x!B29</f>
        <v>540</v>
      </c>
      <c r="AE4" s="25">
        <f>Calc_x!B30</f>
        <v>560</v>
      </c>
      <c r="AF4" s="25">
        <f>Calc_x!B31</f>
        <v>580</v>
      </c>
      <c r="AG4" s="25">
        <f>Calc_x!B32</f>
        <v>600</v>
      </c>
    </row>
    <row r="5" spans="1:33" hidden="1">
      <c r="C5">
        <f>Calc_x!Q2</f>
        <v>0</v>
      </c>
      <c r="D5">
        <f>Calc_x!Q3</f>
        <v>6.3065117590378872</v>
      </c>
      <c r="E5">
        <f>Calc_x!Q4</f>
        <v>5.0340585461223251</v>
      </c>
      <c r="F5">
        <f>Calc_x!Q5</f>
        <v>4.018059240863435</v>
      </c>
      <c r="G5">
        <f>Calc_x!Q6</f>
        <v>3.2068997352210511</v>
      </c>
      <c r="H5">
        <f>Calc_x!Q7</f>
        <v>2.5593355292079503</v>
      </c>
      <c r="I5">
        <f>Calc_x!Q8</f>
        <v>2.0424130372016069</v>
      </c>
      <c r="J5">
        <f>Calc_x!Q9</f>
        <v>1.6298064161891663</v>
      </c>
      <c r="K5">
        <f>Calc_x!Q10</f>
        <v>1.300487152952414</v>
      </c>
      <c r="L5">
        <f>Calc_x!Q11</f>
        <v>1.037660055817661</v>
      </c>
      <c r="M5">
        <f>Calc_x!Q12</f>
        <v>0.82791247146052394</v>
      </c>
      <c r="N5">
        <f>Calc_x!Q13</f>
        <v>0.66053412067670392</v>
      </c>
      <c r="O5">
        <f>Calc_x!Q14</f>
        <v>0.52697342896970434</v>
      </c>
      <c r="P5">
        <f>Calc_x!Q15</f>
        <v>0.42040302921777889</v>
      </c>
      <c r="Q5">
        <f>Calc_x!Q16</f>
        <v>0.33537256548229272</v>
      </c>
      <c r="R5">
        <f>Calc_x!Q17</f>
        <v>0.26753129549147103</v>
      </c>
      <c r="S5">
        <f>Calc_x!Q18</f>
        <v>0.21340648861303993</v>
      </c>
      <c r="T5">
        <f>Calc_x!Q19</f>
        <v>0.17022641831377769</v>
      </c>
      <c r="U5">
        <f>Calc_x!Q20</f>
        <v>0.13577899142774322</v>
      </c>
      <c r="V5">
        <f>Calc_x!Q21</f>
        <v>0.10829885199436216</v>
      </c>
      <c r="W5">
        <f>Calc_x!Q22</f>
        <v>8.6377234033524167E-2</v>
      </c>
      <c r="X5">
        <f>Calc_x!Q23</f>
        <v>6.8889986823801416E-2</v>
      </c>
      <c r="Y5">
        <f>Calc_x!Q24</f>
        <v>5.4940115311257962E-2</v>
      </c>
      <c r="Z5">
        <f>Calc_x!Q25</f>
        <v>4.3811913105686003E-2</v>
      </c>
      <c r="AA5">
        <f>Calc_x!Q26</f>
        <v>3.4934352908798462E-2</v>
      </c>
      <c r="AB5">
        <f>Calc_x!Q27</f>
        <v>2.7851868647778735E-2</v>
      </c>
      <c r="AC5">
        <f>Calc_x!Q28</f>
        <v>2.2201038684592472E-2</v>
      </c>
      <c r="AD5">
        <f>Calc_x!Q29</f>
        <v>1.7691979170520053E-2</v>
      </c>
      <c r="AE5">
        <f>Calc_x!Q30</f>
        <v>1.4093496087069547E-2</v>
      </c>
      <c r="AF5">
        <f>Calc_x!Q31</f>
        <v>1.1221235907567335E-2</v>
      </c>
      <c r="AG5">
        <f>Calc_x!Q32</f>
        <v>8.9282278463191957E-3</v>
      </c>
    </row>
    <row r="6" spans="1:33">
      <c r="B6" s="26">
        <f>y_half-(0)*(2*y_half)/(25-1)</f>
        <v>150</v>
      </c>
      <c r="C6" s="27">
        <f t="shared" ref="C6:L15" si="0">IF(C$4&lt;=0,IF(ABS($B6)&lt;=Y_src/2,C0_2,0),C$5*(IF(C$4&lt;=0,0,ERF(($B6+Y_src/2)/(2*SQRT(a_T*C$4)))-ERF(($B6-Y_src/2)/(2*SQRT(a_T*C$4))))))</f>
        <v>0</v>
      </c>
      <c r="D6" s="27">
        <f t="shared" si="0"/>
        <v>0</v>
      </c>
      <c r="E6" s="27">
        <f t="shared" si="0"/>
        <v>0</v>
      </c>
      <c r="F6" s="27">
        <f t="shared" si="0"/>
        <v>4.0822079176040855E-12</v>
      </c>
      <c r="G6" s="27">
        <f t="shared" si="0"/>
        <v>2.1446115270761135E-9</v>
      </c>
      <c r="H6" s="27">
        <f t="shared" si="0"/>
        <v>8.5986470191422072E-8</v>
      </c>
      <c r="I6" s="27">
        <f t="shared" si="0"/>
        <v>9.4839430381905521E-7</v>
      </c>
      <c r="J6" s="27">
        <f t="shared" si="0"/>
        <v>4.9912645010057343E-6</v>
      </c>
      <c r="K6" s="27">
        <f t="shared" si="0"/>
        <v>1.651783702611836E-5</v>
      </c>
      <c r="L6" s="27">
        <f t="shared" si="0"/>
        <v>4.0082112309992009E-5</v>
      </c>
      <c r="M6" s="27">
        <f t="shared" ref="M6:V15" si="1">IF(M$4&lt;=0,IF(ABS($B6)&lt;=Y_src/2,C0_2,0),M$5*(IF(M$4&lt;=0,0,ERF(($B6+Y_src/2)/(2*SQRT(a_T*M$4)))-ERF(($B6-Y_src/2)/(2*SQRT(a_T*M$4))))))</f>
        <v>7.8222241547070198E-5</v>
      </c>
      <c r="N6" s="27">
        <f t="shared" si="1"/>
        <v>1.3022156247125433E-4</v>
      </c>
      <c r="O6" s="27">
        <f t="shared" si="1"/>
        <v>1.9235596003422465E-4</v>
      </c>
      <c r="P6" s="27">
        <f t="shared" si="1"/>
        <v>2.5909569544968583E-4</v>
      </c>
      <c r="Q6" s="27">
        <f t="shared" si="1"/>
        <v>3.2451677015661628E-4</v>
      </c>
      <c r="R6" s="27">
        <f t="shared" si="1"/>
        <v>3.8342108081626942E-4</v>
      </c>
      <c r="S6" s="27">
        <f t="shared" si="1"/>
        <v>4.3198237000630172E-4</v>
      </c>
      <c r="T6" s="27">
        <f t="shared" si="1"/>
        <v>4.6795102853301263E-4</v>
      </c>
      <c r="U6" s="27">
        <f t="shared" si="1"/>
        <v>4.9054535149431857E-4</v>
      </c>
      <c r="V6" s="27">
        <f t="shared" si="1"/>
        <v>5.001688971370355E-4</v>
      </c>
      <c r="W6" s="27">
        <f t="shared" ref="W6:AG15" si="2">IF(W$4&lt;=0,IF(ABS($B6)&lt;=Y_src/2,C0_2,0),W$5*(IF(W$4&lt;=0,0,ERF(($B6+Y_src/2)/(2*SQRT(a_T*W$4)))-ERF(($B6-Y_src/2)/(2*SQRT(a_T*W$4))))))</f>
        <v>4.9806607586390438E-4</v>
      </c>
      <c r="X6" s="27">
        <f t="shared" si="2"/>
        <v>4.8598996746905288E-4</v>
      </c>
      <c r="Y6" s="27">
        <f t="shared" si="2"/>
        <v>4.6592229838388023E-4</v>
      </c>
      <c r="Z6" s="27">
        <f t="shared" si="2"/>
        <v>4.3986061685295888E-4</v>
      </c>
      <c r="AA6" s="27">
        <f t="shared" si="2"/>
        <v>4.0967207232610271E-4</v>
      </c>
      <c r="AB6" s="27">
        <f t="shared" si="2"/>
        <v>3.770049184445916E-4</v>
      </c>
      <c r="AC6" s="27">
        <f t="shared" si="2"/>
        <v>3.4324561332486051E-4</v>
      </c>
      <c r="AD6" s="27">
        <f t="shared" si="2"/>
        <v>3.0950920337910725E-4</v>
      </c>
      <c r="AE6" s="27">
        <f t="shared" si="2"/>
        <v>2.7665209036349003E-4</v>
      </c>
      <c r="AF6" s="27">
        <f t="shared" si="2"/>
        <v>2.4529833795426589E-4</v>
      </c>
      <c r="AG6" s="27">
        <f t="shared" si="2"/>
        <v>2.1587280774898365E-4</v>
      </c>
    </row>
    <row r="7" spans="1:33">
      <c r="B7" s="26">
        <f>y_half-(1)*(2*y_half)/(25-1)</f>
        <v>137.5</v>
      </c>
      <c r="C7" s="27">
        <f t="shared" si="0"/>
        <v>0</v>
      </c>
      <c r="D7" s="27">
        <f t="shared" si="0"/>
        <v>0</v>
      </c>
      <c r="E7" s="27">
        <f t="shared" si="0"/>
        <v>1.101018757927561E-13</v>
      </c>
      <c r="F7" s="27">
        <f t="shared" si="0"/>
        <v>1.7889755383935004E-9</v>
      </c>
      <c r="G7" s="27">
        <f t="shared" si="0"/>
        <v>2.1175825283101706E-7</v>
      </c>
      <c r="H7" s="27">
        <f t="shared" si="0"/>
        <v>3.4702141087351973E-6</v>
      </c>
      <c r="I7" s="27">
        <f t="shared" si="0"/>
        <v>2.1071087321028973E-5</v>
      </c>
      <c r="J7" s="27">
        <f t="shared" si="0"/>
        <v>7.2376684430372945E-5</v>
      </c>
      <c r="K7" s="27">
        <f t="shared" si="0"/>
        <v>1.7387566445684213E-4</v>
      </c>
      <c r="L7" s="27">
        <f t="shared" si="0"/>
        <v>3.2881031556137116E-4</v>
      </c>
      <c r="M7" s="27">
        <f t="shared" si="1"/>
        <v>5.2554253035990816E-4</v>
      </c>
      <c r="N7" s="27">
        <f t="shared" si="1"/>
        <v>7.4291231218370692E-4</v>
      </c>
      <c r="O7" s="27">
        <f t="shared" si="1"/>
        <v>9.5744024018040491E-4</v>
      </c>
      <c r="P7" s="27">
        <f t="shared" si="1"/>
        <v>1.1488883220460494E-3</v>
      </c>
      <c r="Q7" s="27">
        <f t="shared" si="1"/>
        <v>1.303129701218337E-3</v>
      </c>
      <c r="R7" s="27">
        <f t="shared" si="1"/>
        <v>1.412728033068322E-3</v>
      </c>
      <c r="S7" s="27">
        <f t="shared" si="1"/>
        <v>1.476090905036815E-3</v>
      </c>
      <c r="T7" s="27">
        <f t="shared" si="1"/>
        <v>1.4959892806995715E-3</v>
      </c>
      <c r="U7" s="27">
        <f t="shared" si="1"/>
        <v>1.4779847090972689E-3</v>
      </c>
      <c r="V7" s="27">
        <f t="shared" si="1"/>
        <v>1.4290603577279198E-3</v>
      </c>
      <c r="W7" s="27">
        <f t="shared" si="2"/>
        <v>1.3565731099205642E-3</v>
      </c>
      <c r="X7" s="27">
        <f t="shared" si="2"/>
        <v>1.2675358314837932E-3</v>
      </c>
      <c r="Y7" s="27">
        <f t="shared" si="2"/>
        <v>1.1681847844506748E-3</v>
      </c>
      <c r="Z7" s="27">
        <f t="shared" si="2"/>
        <v>1.0637678295580897E-3</v>
      </c>
      <c r="AA7" s="27">
        <f t="shared" si="2"/>
        <v>9.5848918118656237E-4</v>
      </c>
      <c r="AB7" s="27">
        <f t="shared" si="2"/>
        <v>8.5555571978353532E-4</v>
      </c>
      <c r="AC7" s="27">
        <f t="shared" si="2"/>
        <v>7.5728204338200943E-4</v>
      </c>
      <c r="AD7" s="27">
        <f t="shared" si="2"/>
        <v>6.6522327471553412E-4</v>
      </c>
      <c r="AE7" s="27">
        <f t="shared" si="2"/>
        <v>5.8031467852181985E-4</v>
      </c>
      <c r="AF7" s="27">
        <f t="shared" si="2"/>
        <v>5.030049681583324E-4</v>
      </c>
      <c r="AG7" s="27">
        <f t="shared" si="2"/>
        <v>4.3337590448304809E-4</v>
      </c>
    </row>
    <row r="8" spans="1:33">
      <c r="B8" s="26">
        <f>y_half-(2)*(2*y_half)/(25-1)</f>
        <v>125</v>
      </c>
      <c r="C8" s="27">
        <f t="shared" si="0"/>
        <v>0</v>
      </c>
      <c r="D8" s="27">
        <f t="shared" si="0"/>
        <v>0</v>
      </c>
      <c r="E8" s="27">
        <f t="shared" si="0"/>
        <v>2.9397424393774087E-10</v>
      </c>
      <c r="F8" s="27">
        <f t="shared" si="0"/>
        <v>3.6081569306326417E-7</v>
      </c>
      <c r="G8" s="27">
        <f t="shared" si="0"/>
        <v>1.1727525403140089E-5</v>
      </c>
      <c r="H8" s="27">
        <f t="shared" si="0"/>
        <v>8.8430241325708012E-5</v>
      </c>
      <c r="I8" s="27">
        <f t="shared" si="0"/>
        <v>3.1983921901221769E-4</v>
      </c>
      <c r="J8" s="27">
        <f t="shared" si="0"/>
        <v>7.5845774357474662E-4</v>
      </c>
      <c r="K8" s="27">
        <f t="shared" si="0"/>
        <v>1.3795195952996675E-3</v>
      </c>
      <c r="L8" s="27">
        <f t="shared" si="0"/>
        <v>2.1004562749947502E-3</v>
      </c>
      <c r="M8" s="27">
        <f t="shared" si="1"/>
        <v>2.8220806330733175E-3</v>
      </c>
      <c r="N8" s="27">
        <f t="shared" si="1"/>
        <v>3.4602652340143861E-3</v>
      </c>
      <c r="O8" s="27">
        <f t="shared" si="1"/>
        <v>3.9601522292754404E-3</v>
      </c>
      <c r="P8" s="27">
        <f t="shared" si="1"/>
        <v>4.2970546878559031E-3</v>
      </c>
      <c r="Q8" s="27">
        <f t="shared" si="1"/>
        <v>4.4705038896644617E-3</v>
      </c>
      <c r="R8" s="27">
        <f t="shared" si="1"/>
        <v>4.496271556910912E-3</v>
      </c>
      <c r="S8" s="27">
        <f t="shared" si="1"/>
        <v>4.3990216455424905E-3</v>
      </c>
      <c r="T8" s="27">
        <f t="shared" si="1"/>
        <v>4.2066499840773559E-3</v>
      </c>
      <c r="U8" s="27">
        <f t="shared" si="1"/>
        <v>3.9464597502794629E-3</v>
      </c>
      <c r="V8" s="27">
        <f t="shared" si="1"/>
        <v>3.6429054610122207E-3</v>
      </c>
      <c r="W8" s="27">
        <f t="shared" si="2"/>
        <v>3.3165115475939687E-3</v>
      </c>
      <c r="X8" s="27">
        <f t="shared" si="2"/>
        <v>2.9835871575099814E-3</v>
      </c>
      <c r="Y8" s="27">
        <f t="shared" si="2"/>
        <v>2.6564298219673194E-3</v>
      </c>
      <c r="Z8" s="27">
        <f t="shared" si="2"/>
        <v>2.3437922215586212E-3</v>
      </c>
      <c r="AA8" s="27">
        <f t="shared" si="2"/>
        <v>2.0514586832958829E-3</v>
      </c>
      <c r="AB8" s="27">
        <f t="shared" si="2"/>
        <v>1.7828348468231154E-3</v>
      </c>
      <c r="AC8" s="27">
        <f t="shared" si="2"/>
        <v>1.5394951012589514E-3</v>
      </c>
      <c r="AD8" s="27">
        <f t="shared" si="2"/>
        <v>1.3216603941319691E-3</v>
      </c>
      <c r="AE8" s="27">
        <f t="shared" si="2"/>
        <v>1.1285969340582484E-3</v>
      </c>
      <c r="AF8" s="27">
        <f t="shared" si="2"/>
        <v>9.5893699347413994E-4</v>
      </c>
      <c r="AG8" s="27">
        <f t="shared" si="2"/>
        <v>8.1092877713184438E-4</v>
      </c>
    </row>
    <row r="9" spans="1:33">
      <c r="B9" s="26">
        <f>y_half-(3)*(2*y_half)/(25-1)</f>
        <v>112.5</v>
      </c>
      <c r="C9" s="27">
        <f t="shared" si="0"/>
        <v>0</v>
      </c>
      <c r="D9" s="27">
        <f t="shared" si="0"/>
        <v>7.5617653247494125E-14</v>
      </c>
      <c r="E9" s="27">
        <f t="shared" si="0"/>
        <v>2.4447788196133154E-7</v>
      </c>
      <c r="F9" s="27">
        <f t="shared" si="0"/>
        <v>3.3676945354763127E-5</v>
      </c>
      <c r="G9" s="27">
        <f t="shared" si="0"/>
        <v>3.6613076368951136E-4</v>
      </c>
      <c r="H9" s="27">
        <f t="shared" si="0"/>
        <v>1.4295020628256165E-3</v>
      </c>
      <c r="I9" s="27">
        <f t="shared" si="0"/>
        <v>3.3311883522040182E-3</v>
      </c>
      <c r="J9" s="27">
        <f t="shared" si="0"/>
        <v>5.7671100942528796E-3</v>
      </c>
      <c r="K9" s="27">
        <f t="shared" si="0"/>
        <v>8.2805421330333692E-3</v>
      </c>
      <c r="L9" s="27">
        <f t="shared" si="0"/>
        <v>1.0485642900583427E-2</v>
      </c>
      <c r="M9" s="27">
        <f t="shared" si="1"/>
        <v>1.2152531085323069E-2</v>
      </c>
      <c r="N9" s="27">
        <f t="shared" si="1"/>
        <v>1.3199915945044615E-2</v>
      </c>
      <c r="O9" s="27">
        <f t="shared" si="1"/>
        <v>1.3652354820951436E-2</v>
      </c>
      <c r="P9" s="27">
        <f t="shared" si="1"/>
        <v>1.3594892320550053E-2</v>
      </c>
      <c r="Q9" s="27">
        <f t="shared" si="1"/>
        <v>1.3137741235879021E-2</v>
      </c>
      <c r="R9" s="27">
        <f t="shared" si="1"/>
        <v>1.2393114597422407E-2</v>
      </c>
      <c r="S9" s="27">
        <f t="shared" si="1"/>
        <v>1.1462180413362912E-2</v>
      </c>
      <c r="T9" s="27">
        <f t="shared" si="1"/>
        <v>1.0429165524226692E-2</v>
      </c>
      <c r="U9" s="27">
        <f t="shared" si="1"/>
        <v>9.3599630320745936E-3</v>
      </c>
      <c r="V9" s="27">
        <f t="shared" si="1"/>
        <v>8.3032735293673641E-3</v>
      </c>
      <c r="W9" s="27">
        <f t="shared" si="2"/>
        <v>7.2929585226574898E-3</v>
      </c>
      <c r="X9" s="27">
        <f t="shared" si="2"/>
        <v>6.3507897402523376E-3</v>
      </c>
      <c r="Y9" s="27">
        <f t="shared" si="2"/>
        <v>5.4891323586848508E-3</v>
      </c>
      <c r="Z9" s="27">
        <f t="shared" si="2"/>
        <v>4.713331299005097E-3</v>
      </c>
      <c r="AA9" s="27">
        <f t="shared" si="2"/>
        <v>4.0237112474686065E-3</v>
      </c>
      <c r="AB9" s="27">
        <f t="shared" si="2"/>
        <v>3.4171818401706609E-3</v>
      </c>
      <c r="AC9" s="27">
        <f t="shared" si="2"/>
        <v>2.8884812479257217E-3</v>
      </c>
      <c r="AD9" s="27">
        <f t="shared" si="2"/>
        <v>2.431109382422351E-3</v>
      </c>
      <c r="AE9" s="27">
        <f t="shared" si="2"/>
        <v>2.0380061936562137E-3</v>
      </c>
      <c r="AF9" s="27">
        <f t="shared" si="2"/>
        <v>1.702027462147041E-3</v>
      </c>
      <c r="AG9" s="27">
        <f t="shared" si="2"/>
        <v>1.4162640381289351E-3</v>
      </c>
    </row>
    <row r="10" spans="1:33">
      <c r="B10" s="26">
        <f>y_half-(4)*(2*y_half)/(25-1)</f>
        <v>100</v>
      </c>
      <c r="C10" s="27">
        <f t="shared" si="0"/>
        <v>0</v>
      </c>
      <c r="D10" s="27">
        <f t="shared" si="0"/>
        <v>4.2174744865047771E-9</v>
      </c>
      <c r="E10" s="27">
        <f t="shared" si="0"/>
        <v>6.3938931235124247E-5</v>
      </c>
      <c r="F10" s="27">
        <f t="shared" si="0"/>
        <v>1.4666728954683651E-3</v>
      </c>
      <c r="G10" s="27">
        <f t="shared" si="0"/>
        <v>6.4914830597270698E-3</v>
      </c>
      <c r="H10" s="27">
        <f t="shared" si="0"/>
        <v>1.47576574474516E-2</v>
      </c>
      <c r="I10" s="27">
        <f t="shared" si="0"/>
        <v>2.3952145763774444E-2</v>
      </c>
      <c r="J10" s="27">
        <f t="shared" si="0"/>
        <v>3.1997716780024041E-2</v>
      </c>
      <c r="K10" s="27">
        <f t="shared" si="0"/>
        <v>3.7799533389220909E-2</v>
      </c>
      <c r="L10" s="27">
        <f t="shared" si="0"/>
        <v>4.1104015474356922E-2</v>
      </c>
      <c r="M10" s="27">
        <f t="shared" si="1"/>
        <v>4.2155464890750144E-2</v>
      </c>
      <c r="N10" s="27">
        <f t="shared" si="1"/>
        <v>4.1414534649990294E-2</v>
      </c>
      <c r="O10" s="27">
        <f t="shared" si="1"/>
        <v>3.9383843710854689E-2</v>
      </c>
      <c r="P10" s="27">
        <f t="shared" si="1"/>
        <v>3.6518481172266845E-2</v>
      </c>
      <c r="Q10" s="27">
        <f t="shared" si="1"/>
        <v>3.3190283660224293E-2</v>
      </c>
      <c r="R10" s="27">
        <f t="shared" si="1"/>
        <v>2.9681885008585339E-2</v>
      </c>
      <c r="S10" s="27">
        <f t="shared" si="1"/>
        <v>2.6195151124666437E-2</v>
      </c>
      <c r="T10" s="27">
        <f t="shared" si="1"/>
        <v>2.2865115700148531E-2</v>
      </c>
      <c r="U10" s="27">
        <f t="shared" si="1"/>
        <v>1.9774728446088088E-2</v>
      </c>
      <c r="V10" s="27">
        <f t="shared" si="1"/>
        <v>1.6968212871707872E-2</v>
      </c>
      <c r="W10" s="27">
        <f t="shared" si="2"/>
        <v>1.4462208632272518E-2</v>
      </c>
      <c r="X10" s="27">
        <f t="shared" si="2"/>
        <v>1.2254584818506775E-2</v>
      </c>
      <c r="Y10" s="27">
        <f t="shared" si="2"/>
        <v>1.0331140796390076E-2</v>
      </c>
      <c r="Z10" s="27">
        <f t="shared" si="2"/>
        <v>8.6705340750625592E-3</v>
      </c>
      <c r="AA10" s="27">
        <f t="shared" si="2"/>
        <v>7.2477915061783527E-3</v>
      </c>
      <c r="AB10" s="27">
        <f t="shared" si="2"/>
        <v>6.0367278556401381E-3</v>
      </c>
      <c r="AC10" s="27">
        <f t="shared" si="2"/>
        <v>5.0115451706480045E-3</v>
      </c>
      <c r="AD10" s="27">
        <f t="shared" si="2"/>
        <v>4.1478330683661175E-3</v>
      </c>
      <c r="AE10" s="27">
        <f t="shared" si="2"/>
        <v>3.4231413800977746E-3</v>
      </c>
      <c r="AF10" s="27">
        <f t="shared" si="2"/>
        <v>2.8172552650635382E-3</v>
      </c>
      <c r="AG10" s="27">
        <f t="shared" si="2"/>
        <v>2.3122694238042097E-3</v>
      </c>
    </row>
    <row r="11" spans="1:33">
      <c r="B11" s="26">
        <f>y_half-(5)*(2*y_half)/(25-1)</f>
        <v>87.5</v>
      </c>
      <c r="C11" s="27">
        <f t="shared" si="0"/>
        <v>0</v>
      </c>
      <c r="D11" s="27">
        <f t="shared" si="0"/>
        <v>2.3062703222999418E-5</v>
      </c>
      <c r="E11" s="27">
        <f t="shared" si="0"/>
        <v>5.3399853990397676E-3</v>
      </c>
      <c r="F11" s="27">
        <f t="shared" si="0"/>
        <v>3.0195312188545802E-2</v>
      </c>
      <c r="G11" s="27">
        <f t="shared" si="0"/>
        <v>6.6105143440540401E-2</v>
      </c>
      <c r="H11" s="27">
        <f t="shared" si="0"/>
        <v>9.8270865920301528E-2</v>
      </c>
      <c r="I11" s="27">
        <f t="shared" si="0"/>
        <v>0.11995819918251005</v>
      </c>
      <c r="J11" s="27">
        <f t="shared" si="0"/>
        <v>0.13058609094340001</v>
      </c>
      <c r="K11" s="27">
        <f t="shared" si="0"/>
        <v>0.13218379014233081</v>
      </c>
      <c r="L11" s="27">
        <f t="shared" si="0"/>
        <v>0.12737414214384379</v>
      </c>
      <c r="M11" s="27">
        <f t="shared" si="1"/>
        <v>0.11852280746784499</v>
      </c>
      <c r="N11" s="27">
        <f t="shared" si="1"/>
        <v>0.1074798154034768</v>
      </c>
      <c r="O11" s="27">
        <f t="shared" si="1"/>
        <v>9.5574578877916566E-2</v>
      </c>
      <c r="P11" s="27">
        <f t="shared" si="1"/>
        <v>8.3700285084184395E-2</v>
      </c>
      <c r="Q11" s="27">
        <f t="shared" si="1"/>
        <v>7.241612629784297E-2</v>
      </c>
      <c r="R11" s="27">
        <f t="shared" si="1"/>
        <v>6.2039731174937669E-2</v>
      </c>
      <c r="S11" s="27">
        <f t="shared" si="1"/>
        <v>5.2721643004564951E-2</v>
      </c>
      <c r="T11" s="27">
        <f t="shared" si="1"/>
        <v>4.4501695720600455E-2</v>
      </c>
      <c r="U11" s="27">
        <f t="shared" si="1"/>
        <v>3.7349963652177902E-2</v>
      </c>
      <c r="V11" s="27">
        <f t="shared" si="1"/>
        <v>3.1195564646079161E-2</v>
      </c>
      <c r="W11" s="27">
        <f t="shared" si="2"/>
        <v>2.5946330799206802E-2</v>
      </c>
      <c r="X11" s="27">
        <f t="shared" si="2"/>
        <v>2.1501825441773936E-2</v>
      </c>
      <c r="Y11" s="27">
        <f t="shared" si="2"/>
        <v>1.7761629429333584E-2</v>
      </c>
      <c r="Z11" s="27">
        <f t="shared" si="2"/>
        <v>1.4630336333522998E-2</v>
      </c>
      <c r="AA11" s="27">
        <f t="shared" si="2"/>
        <v>1.202030774564255E-2</v>
      </c>
      <c r="AB11" s="27">
        <f t="shared" si="2"/>
        <v>9.852941605153237E-3</v>
      </c>
      <c r="AC11" s="27">
        <f t="shared" si="2"/>
        <v>8.0589837941285967E-3</v>
      </c>
      <c r="AD11" s="27">
        <f t="shared" si="2"/>
        <v>6.5782503292933338E-3</v>
      </c>
      <c r="AE11" s="27">
        <f t="shared" si="2"/>
        <v>5.3590101423632184E-3</v>
      </c>
      <c r="AF11" s="27">
        <f t="shared" si="2"/>
        <v>4.3571950540369081E-3</v>
      </c>
      <c r="AG11" s="27">
        <f t="shared" si="2"/>
        <v>3.5355450610113715E-3</v>
      </c>
    </row>
    <row r="12" spans="1:33">
      <c r="B12" s="26">
        <f>y_half-(6)*(2*y_half)/(25-1)</f>
        <v>75</v>
      </c>
      <c r="C12" s="27">
        <f t="shared" si="0"/>
        <v>0</v>
      </c>
      <c r="D12" s="27">
        <f t="shared" si="0"/>
        <v>1.2765791770830688E-2</v>
      </c>
      <c r="E12" s="27">
        <f t="shared" si="0"/>
        <v>0.14631829622288944</v>
      </c>
      <c r="F12" s="27">
        <f t="shared" si="0"/>
        <v>0.30029371236571695</v>
      </c>
      <c r="G12" s="27">
        <f t="shared" si="0"/>
        <v>0.39365122626661891</v>
      </c>
      <c r="H12" s="27">
        <f t="shared" si="0"/>
        <v>0.42860000272226112</v>
      </c>
      <c r="I12" s="27">
        <f t="shared" si="0"/>
        <v>0.42405700935149609</v>
      </c>
      <c r="J12" s="27">
        <f t="shared" si="0"/>
        <v>0.39661890468057043</v>
      </c>
      <c r="K12" s="27">
        <f t="shared" si="0"/>
        <v>0.35781866294067438</v>
      </c>
      <c r="L12" s="27">
        <f t="shared" si="0"/>
        <v>0.31496453784367895</v>
      </c>
      <c r="M12" s="27">
        <f t="shared" si="1"/>
        <v>0.27240041052527836</v>
      </c>
      <c r="N12" s="27">
        <f t="shared" si="1"/>
        <v>0.23252480545220727</v>
      </c>
      <c r="O12" s="27">
        <f t="shared" si="1"/>
        <v>0.19650788472394945</v>
      </c>
      <c r="P12" s="27">
        <f t="shared" si="1"/>
        <v>0.16476966426862782</v>
      </c>
      <c r="Q12" s="27">
        <f t="shared" si="1"/>
        <v>0.13729035820274815</v>
      </c>
      <c r="R12" s="27">
        <f t="shared" si="1"/>
        <v>0.11380792427176797</v>
      </c>
      <c r="S12" s="27">
        <f t="shared" si="1"/>
        <v>9.3941416319697185E-2</v>
      </c>
      <c r="T12" s="27">
        <f t="shared" si="1"/>
        <v>7.7266151670735722E-2</v>
      </c>
      <c r="U12" s="27">
        <f t="shared" si="1"/>
        <v>6.3357907408339603E-2</v>
      </c>
      <c r="V12" s="27">
        <f t="shared" si="1"/>
        <v>5.181743698375927E-2</v>
      </c>
      <c r="W12" s="27">
        <f t="shared" si="2"/>
        <v>4.2282670266718329E-2</v>
      </c>
      <c r="X12" s="27">
        <f t="shared" si="2"/>
        <v>3.443337218734395E-2</v>
      </c>
      <c r="Y12" s="27">
        <f t="shared" si="2"/>
        <v>2.7991335843956952E-2</v>
      </c>
      <c r="Z12" s="27">
        <f t="shared" si="2"/>
        <v>2.2718072716564331E-2</v>
      </c>
      <c r="AA12" s="27">
        <f t="shared" si="2"/>
        <v>1.8411235140226818E-2</v>
      </c>
      <c r="AB12" s="27">
        <f t="shared" si="2"/>
        <v>1.4900532509851596E-2</v>
      </c>
      <c r="AC12" s="27">
        <f t="shared" si="2"/>
        <v>1.2043595974170193E-2</v>
      </c>
      <c r="AD12" s="27">
        <f t="shared" si="2"/>
        <v>9.7220494559146862E-3</v>
      </c>
      <c r="AE12" s="27">
        <f t="shared" si="2"/>
        <v>7.8379200206358385E-3</v>
      </c>
      <c r="AF12" s="27">
        <f t="shared" si="2"/>
        <v>6.310443040648781E-3</v>
      </c>
      <c r="AG12" s="27">
        <f t="shared" si="2"/>
        <v>5.073270840342428E-3</v>
      </c>
    </row>
    <row r="13" spans="1:33">
      <c r="B13" s="26">
        <f>y_half-(7)*(2*y_half)/(25-1)</f>
        <v>62.5</v>
      </c>
      <c r="C13" s="27">
        <f t="shared" si="0"/>
        <v>0</v>
      </c>
      <c r="D13" s="27">
        <f t="shared" si="0"/>
        <v>0.77413274264380327</v>
      </c>
      <c r="E13" s="27">
        <f t="shared" si="0"/>
        <v>1.3850812843399312</v>
      </c>
      <c r="F13" s="27">
        <f t="shared" si="0"/>
        <v>1.4983641025634218</v>
      </c>
      <c r="G13" s="27">
        <f t="shared" si="0"/>
        <v>1.4120415914175541</v>
      </c>
      <c r="H13" s="27">
        <f t="shared" si="0"/>
        <v>1.2542542929745062</v>
      </c>
      <c r="I13" s="27">
        <f t="shared" si="0"/>
        <v>1.0797314229275228</v>
      </c>
      <c r="J13" s="27">
        <f t="shared" si="0"/>
        <v>0.91216313595269394</v>
      </c>
      <c r="K13" s="27">
        <f t="shared" si="0"/>
        <v>0.7611836568680006</v>
      </c>
      <c r="L13" s="27">
        <f t="shared" si="0"/>
        <v>0.62979635251384591</v>
      </c>
      <c r="M13" s="27">
        <f t="shared" si="1"/>
        <v>0.51786601352449269</v>
      </c>
      <c r="N13" s="27">
        <f t="shared" si="1"/>
        <v>0.42384259977269095</v>
      </c>
      <c r="O13" s="27">
        <f t="shared" si="1"/>
        <v>0.34563292010703511</v>
      </c>
      <c r="P13" s="27">
        <f t="shared" si="1"/>
        <v>0.28104091452329805</v>
      </c>
      <c r="Q13" s="27">
        <f t="shared" si="1"/>
        <v>0.22798236175043435</v>
      </c>
      <c r="R13" s="27">
        <f t="shared" si="1"/>
        <v>0.18457975820506159</v>
      </c>
      <c r="S13" s="27">
        <f t="shared" si="1"/>
        <v>0.14919365581413546</v>
      </c>
      <c r="T13" s="27">
        <f t="shared" si="1"/>
        <v>0.12042111973637476</v>
      </c>
      <c r="U13" s="27">
        <f t="shared" si="1"/>
        <v>9.7078197069811009E-2</v>
      </c>
      <c r="V13" s="27">
        <f t="shared" si="1"/>
        <v>7.8175690812281248E-2</v>
      </c>
      <c r="W13" s="27">
        <f t="shared" si="2"/>
        <v>6.2893269152114031E-2</v>
      </c>
      <c r="X13" s="27">
        <f t="shared" si="2"/>
        <v>5.0554525695274612E-2</v>
      </c>
      <c r="Y13" s="27">
        <f t="shared" si="2"/>
        <v>4.0604239317090847E-2</v>
      </c>
      <c r="Z13" s="27">
        <f t="shared" si="2"/>
        <v>3.2588316713312665E-2</v>
      </c>
      <c r="AA13" s="27">
        <f t="shared" si="2"/>
        <v>2.6136482790407312E-2</v>
      </c>
      <c r="AB13" s="27">
        <f t="shared" si="2"/>
        <v>2.0947567330835765E-2</v>
      </c>
      <c r="AC13" s="27">
        <f t="shared" si="2"/>
        <v>1.6777135402466465E-2</v>
      </c>
      <c r="AD13" s="27">
        <f t="shared" si="2"/>
        <v>1.3427173519480034E-2</v>
      </c>
      <c r="AE13" s="27">
        <f t="shared" si="2"/>
        <v>1.0737544034717909E-2</v>
      </c>
      <c r="AF13" s="27">
        <f t="shared" si="2"/>
        <v>8.5789393010952328E-3</v>
      </c>
      <c r="AG13" s="27">
        <f t="shared" si="2"/>
        <v>6.8470947026339221E-3</v>
      </c>
    </row>
    <row r="14" spans="1:33">
      <c r="B14" s="26">
        <f>y_half-(8)*(2*y_half)/(25-1)</f>
        <v>50</v>
      </c>
      <c r="C14" s="27">
        <f t="shared" si="0"/>
        <v>15.8</v>
      </c>
      <c r="D14" s="27">
        <f t="shared" si="0"/>
        <v>6.3065117590378872</v>
      </c>
      <c r="E14" s="27">
        <f t="shared" si="0"/>
        <v>5.0340585461223251</v>
      </c>
      <c r="F14" s="27">
        <f t="shared" si="0"/>
        <v>4.018059240859353</v>
      </c>
      <c r="G14" s="27">
        <f t="shared" si="0"/>
        <v>3.2068997330764395</v>
      </c>
      <c r="H14" s="27">
        <f t="shared" si="0"/>
        <v>2.5593354432214799</v>
      </c>
      <c r="I14" s="27">
        <f t="shared" si="0"/>
        <v>2.042412088807303</v>
      </c>
      <c r="J14" s="27">
        <f t="shared" si="0"/>
        <v>1.6298014249246653</v>
      </c>
      <c r="K14" s="27">
        <f t="shared" si="0"/>
        <v>1.3004706351153879</v>
      </c>
      <c r="L14" s="27">
        <f t="shared" si="0"/>
        <v>1.0376199737053506</v>
      </c>
      <c r="M14" s="27">
        <f t="shared" si="1"/>
        <v>0.82783424921897208</v>
      </c>
      <c r="N14" s="27">
        <f t="shared" si="1"/>
        <v>0.66040389911416875</v>
      </c>
      <c r="O14" s="27">
        <f t="shared" si="1"/>
        <v>0.52678107300913468</v>
      </c>
      <c r="P14" s="27">
        <f t="shared" si="1"/>
        <v>0.4201439335191956</v>
      </c>
      <c r="Q14" s="27">
        <f t="shared" si="1"/>
        <v>0.33504804869830468</v>
      </c>
      <c r="R14" s="27">
        <f t="shared" si="1"/>
        <v>0.26714787436195087</v>
      </c>
      <c r="S14" s="27">
        <f t="shared" si="1"/>
        <v>0.21297450610031821</v>
      </c>
      <c r="T14" s="27">
        <f t="shared" si="1"/>
        <v>0.16975846692581559</v>
      </c>
      <c r="U14" s="27">
        <f t="shared" si="1"/>
        <v>0.13528844527842779</v>
      </c>
      <c r="V14" s="27">
        <f t="shared" si="1"/>
        <v>0.10779868150513117</v>
      </c>
      <c r="W14" s="27">
        <f t="shared" si="2"/>
        <v>8.5879165055628315E-2</v>
      </c>
      <c r="X14" s="27">
        <f t="shared" si="2"/>
        <v>6.8403991962008262E-2</v>
      </c>
      <c r="Y14" s="27">
        <f t="shared" si="2"/>
        <v>5.4474185294758101E-2</v>
      </c>
      <c r="Z14" s="27">
        <f t="shared" si="2"/>
        <v>4.3372041009083373E-2</v>
      </c>
      <c r="AA14" s="27">
        <f t="shared" si="2"/>
        <v>3.4524664614708836E-2</v>
      </c>
      <c r="AB14" s="27">
        <f t="shared" si="2"/>
        <v>2.7474841819363705E-2</v>
      </c>
      <c r="AC14" s="27">
        <f t="shared" si="2"/>
        <v>2.1857764640834658E-2</v>
      </c>
      <c r="AD14" s="27">
        <f t="shared" si="2"/>
        <v>1.7382434371051039E-2</v>
      </c>
      <c r="AE14" s="27">
        <f t="shared" si="2"/>
        <v>1.3816800835526903E-2</v>
      </c>
      <c r="AF14" s="27">
        <f t="shared" si="2"/>
        <v>1.0975886728915696E-2</v>
      </c>
      <c r="AG14" s="27">
        <f t="shared" si="2"/>
        <v>8.7122967066210564E-3</v>
      </c>
    </row>
    <row r="15" spans="1:33">
      <c r="B15" s="26">
        <f>y_half-(9)*(2*y_half)/(25-1)</f>
        <v>37.5</v>
      </c>
      <c r="C15" s="27">
        <f t="shared" si="0"/>
        <v>15.8</v>
      </c>
      <c r="D15" s="27">
        <f t="shared" si="0"/>
        <v>11.83889077543197</v>
      </c>
      <c r="E15" s="27">
        <f t="shared" si="0"/>
        <v>8.6830358079046093</v>
      </c>
      <c r="F15" s="27">
        <f t="shared" si="0"/>
        <v>6.5377543773744673</v>
      </c>
      <c r="G15" s="27">
        <f t="shared" si="0"/>
        <v>5.0017576672541564</v>
      </c>
      <c r="H15" s="27">
        <f t="shared" si="0"/>
        <v>3.8644132938864511</v>
      </c>
      <c r="I15" s="27">
        <f t="shared" si="0"/>
        <v>3.0050735513162419</v>
      </c>
      <c r="J15" s="27">
        <f t="shared" si="0"/>
        <v>2.3473770717233116</v>
      </c>
      <c r="K15" s="27">
        <f t="shared" si="0"/>
        <v>1.8396155939868248</v>
      </c>
      <c r="L15" s="27">
        <f t="shared" si="0"/>
        <v>1.4451911541176772</v>
      </c>
      <c r="M15" s="27">
        <f t="shared" si="1"/>
        <v>1.1374241049010947</v>
      </c>
      <c r="N15" s="27">
        <f t="shared" si="1"/>
        <v>0.89646413837766858</v>
      </c>
      <c r="O15" s="27">
        <f t="shared" si="1"/>
        <v>0.7073244573537355</v>
      </c>
      <c r="P15" s="27">
        <f t="shared" si="1"/>
        <v>0.55856707841648257</v>
      </c>
      <c r="Q15" s="27">
        <f t="shared" si="1"/>
        <v>0.44139074395306827</v>
      </c>
      <c r="R15" s="27">
        <f t="shared" si="1"/>
        <v>0.34898039704820938</v>
      </c>
      <c r="S15" s="27">
        <f t="shared" si="1"/>
        <v>0.27603318373919217</v>
      </c>
      <c r="T15" s="27">
        <f t="shared" si="1"/>
        <v>0.21840721310495997</v>
      </c>
      <c r="U15" s="27">
        <f t="shared" si="1"/>
        <v>0.17285776400985806</v>
      </c>
      <c r="V15" s="27">
        <f t="shared" si="1"/>
        <v>0.13683702379489152</v>
      </c>
      <c r="W15" s="27">
        <f t="shared" si="2"/>
        <v>0.10834074053474088</v>
      </c>
      <c r="X15" s="27">
        <f t="shared" si="2"/>
        <v>8.5789985368355637E-2</v>
      </c>
      <c r="Y15" s="27">
        <f t="shared" si="2"/>
        <v>6.7939482754335881E-2</v>
      </c>
      <c r="Z15" s="27">
        <f t="shared" si="2"/>
        <v>5.3806226905194418E-2</v>
      </c>
      <c r="AA15" s="27">
        <f t="shared" si="2"/>
        <v>4.2613701645012284E-2</v>
      </c>
      <c r="AB15" s="27">
        <f t="shared" si="2"/>
        <v>3.3748172732192223E-2</v>
      </c>
      <c r="AC15" s="27">
        <f t="shared" si="2"/>
        <v>2.6724364691890597E-2</v>
      </c>
      <c r="AD15" s="27">
        <f t="shared" si="2"/>
        <v>2.1158459814380304E-2</v>
      </c>
      <c r="AE15" s="27">
        <f t="shared" si="2"/>
        <v>1.674682683307286E-2</v>
      </c>
      <c r="AF15" s="27">
        <f t="shared" si="2"/>
        <v>1.3249243292956034E-2</v>
      </c>
      <c r="AG15" s="27">
        <f t="shared" si="2"/>
        <v>1.0475648457579168E-2</v>
      </c>
    </row>
    <row r="16" spans="1:33">
      <c r="B16" s="26">
        <f>y_half-(10)*(2*y_half)/(25-1)</f>
        <v>25</v>
      </c>
      <c r="C16" s="27">
        <f t="shared" ref="C16:L30" si="3">IF(C$4&lt;=0,IF(ABS($B16)&lt;=Y_src/2,C0_2,0),C$5*(IF(C$4&lt;=0,0,ERF(($B16+Y_src/2)/(2*SQRT(a_T*C$4)))-ERF(($B16-Y_src/2)/(2*SQRT(a_T*C$4))))))</f>
        <v>15.8</v>
      </c>
      <c r="D16" s="27">
        <f t="shared" si="3"/>
        <v>12.600257726304944</v>
      </c>
      <c r="E16" s="27">
        <f t="shared" si="3"/>
        <v>9.9217987957277867</v>
      </c>
      <c r="F16" s="27">
        <f t="shared" si="3"/>
        <v>7.7358244085454606</v>
      </c>
      <c r="G16" s="27">
        <f t="shared" si="3"/>
        <v>6.0201365166500418</v>
      </c>
      <c r="H16" s="27">
        <f t="shared" si="3"/>
        <v>4.6899826254391881</v>
      </c>
      <c r="I16" s="27">
        <f t="shared" si="3"/>
        <v>3.6604492252271705</v>
      </c>
      <c r="J16" s="27">
        <f t="shared" si="3"/>
        <v>2.8622354610937988</v>
      </c>
      <c r="K16" s="27">
        <f t="shared" si="3"/>
        <v>2.2417760602109698</v>
      </c>
      <c r="L16" s="27">
        <f t="shared" si="3"/>
        <v>1.7582548390688266</v>
      </c>
      <c r="M16" s="27">
        <f t="shared" ref="M16:V30" si="4">IF(M$4&lt;=0,IF(ABS($B16)&lt;=Y_src/2,C0_2,0),M$5*(IF(M$4&lt;=0,0,ERF(($B16+Y_src/2)/(2*SQRT(a_T*M$4)))-ERF(($B16-Y_src/2)/(2*SQRT(a_T*M$4))))))</f>
        <v>1.3806015753711109</v>
      </c>
      <c r="N16" s="27">
        <f t="shared" si="4"/>
        <v>1.0850810129672808</v>
      </c>
      <c r="O16" s="27">
        <f t="shared" si="4"/>
        <v>0.85347440397860641</v>
      </c>
      <c r="P16" s="27">
        <f t="shared" si="4"/>
        <v>0.67173149638471441</v>
      </c>
      <c r="Q16" s="27">
        <f t="shared" si="4"/>
        <v>0.52897181751975753</v>
      </c>
      <c r="R16" s="27">
        <f t="shared" si="4"/>
        <v>0.41674032456108978</v>
      </c>
      <c r="S16" s="27">
        <f t="shared" si="4"/>
        <v>0.32844816061551535</v>
      </c>
      <c r="T16" s="27">
        <f t="shared" si="4"/>
        <v>0.25894906902223058</v>
      </c>
      <c r="U16" s="27">
        <f t="shared" si="4"/>
        <v>0.2042162110828129</v>
      </c>
      <c r="V16" s="27">
        <f t="shared" si="4"/>
        <v>0.16109405499794741</v>
      </c>
      <c r="W16" s="27">
        <f t="shared" ref="W16:AG30" si="5">IF(W$4&lt;=0,IF(ABS($B16)&lt;=Y_src/2,C0_2,0),W$5*(IF(W$4&lt;=0,0,ERF(($B16+Y_src/2)/(2*SQRT(a_T*W$4)))-ERF(($B16-Y_src/2)/(2*SQRT(a_T*W$4))))))</f>
        <v>0.1271069236287988</v>
      </c>
      <c r="X16" s="27">
        <f t="shared" si="5"/>
        <v>0.10031065258784852</v>
      </c>
      <c r="Y16" s="27">
        <f t="shared" si="5"/>
        <v>7.91772722725438E-2</v>
      </c>
      <c r="Z16" s="27">
        <f t="shared" si="5"/>
        <v>6.2505126912571818E-2</v>
      </c>
      <c r="AA16" s="27">
        <f t="shared" si="5"/>
        <v>4.9348673438077403E-2</v>
      </c>
      <c r="AB16" s="27">
        <f t="shared" si="5"/>
        <v>3.8963559536617502E-2</v>
      </c>
      <c r="AC16" s="27">
        <f t="shared" si="5"/>
        <v>3.0763597190718073E-2</v>
      </c>
      <c r="AD16" s="27">
        <f t="shared" si="5"/>
        <v>2.4287017471903642E-2</v>
      </c>
      <c r="AE16" s="27">
        <f t="shared" si="5"/>
        <v>1.9169979170804412E-2</v>
      </c>
      <c r="AF16" s="27">
        <f t="shared" si="5"/>
        <v>1.5125754228440834E-2</v>
      </c>
      <c r="AG16" s="27">
        <f t="shared" si="5"/>
        <v>1.1928360462325312E-2</v>
      </c>
    </row>
    <row r="17" spans="2:33">
      <c r="B17" s="26">
        <f>y_half-(11)*(2*y_half)/(25-1)</f>
        <v>12.5</v>
      </c>
      <c r="C17" s="27">
        <f t="shared" si="3"/>
        <v>15.8</v>
      </c>
      <c r="D17" s="27">
        <f t="shared" si="3"/>
        <v>12.613000455372477</v>
      </c>
      <c r="E17" s="27">
        <f t="shared" si="3"/>
        <v>10.062776862367729</v>
      </c>
      <c r="F17" s="27">
        <f t="shared" si="3"/>
        <v>8.0058894925929689</v>
      </c>
      <c r="G17" s="27">
        <f t="shared" si="3"/>
        <v>6.3473281962378723</v>
      </c>
      <c r="H17" s="27">
        <f t="shared" si="3"/>
        <v>5.0189706904326927</v>
      </c>
      <c r="I17" s="27">
        <f t="shared" si="3"/>
        <v>3.9615366868599442</v>
      </c>
      <c r="J17" s="27">
        <f t="shared" si="3"/>
        <v>3.1232596311134384</v>
      </c>
      <c r="K17" s="27">
        <f t="shared" si="3"/>
        <v>2.4605099710952039</v>
      </c>
      <c r="L17" s="27">
        <f t="shared" si="3"/>
        <v>1.937460310756018</v>
      </c>
      <c r="M17" s="27">
        <f t="shared" si="4"/>
        <v>1.5251495384419462</v>
      </c>
      <c r="N17" s="27">
        <f t="shared" si="4"/>
        <v>1.2003883057648248</v>
      </c>
      <c r="O17" s="27">
        <f t="shared" si="4"/>
        <v>0.94471941739159671</v>
      </c>
      <c r="P17" s="27">
        <f t="shared" si="4"/>
        <v>0.74350982068692861</v>
      </c>
      <c r="Q17" s="27">
        <f t="shared" si="4"/>
        <v>0.58518932391161826</v>
      </c>
      <c r="R17" s="27">
        <f t="shared" si="4"/>
        <v>0.46062655921486928</v>
      </c>
      <c r="S17" s="27">
        <f t="shared" si="4"/>
        <v>0.3626243584815575</v>
      </c>
      <c r="T17" s="27">
        <f t="shared" si="4"/>
        <v>0.28551525987944026</v>
      </c>
      <c r="U17" s="27">
        <f t="shared" si="4"/>
        <v>0.22483920075830846</v>
      </c>
      <c r="V17" s="27">
        <f t="shared" si="4"/>
        <v>0.17708776643679783</v>
      </c>
      <c r="W17" s="27">
        <f t="shared" si="5"/>
        <v>0.13950185526388886</v>
      </c>
      <c r="X17" s="27">
        <f t="shared" si="5"/>
        <v>0.1099119481621687</v>
      </c>
      <c r="Y17" s="27">
        <f t="shared" si="5"/>
        <v>8.6612208844615152E-2</v>
      </c>
      <c r="Z17" s="27">
        <f t="shared" si="5"/>
        <v>6.8261361602723253E-2</v>
      </c>
      <c r="AA17" s="27">
        <f t="shared" si="5"/>
        <v>5.3804714250497029E-2</v>
      </c>
      <c r="AB17" s="27">
        <f t="shared" si="5"/>
        <v>4.2412849624543156E-2</v>
      </c>
      <c r="AC17" s="27">
        <f t="shared" si="5"/>
        <v>3.3433439890803419E-2</v>
      </c>
      <c r="AD17" s="27">
        <f t="shared" si="5"/>
        <v>2.6353382250746259E-2</v>
      </c>
      <c r="AE17" s="27">
        <f t="shared" si="5"/>
        <v>2.0769046830719218E-2</v>
      </c>
      <c r="AF17" s="27">
        <f t="shared" si="5"/>
        <v>1.6362896988475768E-2</v>
      </c>
      <c r="AG17" s="27">
        <f t="shared" si="5"/>
        <v>1.288511348924159E-2</v>
      </c>
    </row>
    <row r="18" spans="2:33">
      <c r="B18" s="26">
        <f>y_half-(12)*(2*y_half)/(25-1)</f>
        <v>0</v>
      </c>
      <c r="C18" s="27">
        <f t="shared" si="3"/>
        <v>15.8</v>
      </c>
      <c r="D18" s="27">
        <f t="shared" si="3"/>
        <v>12.613023509640826</v>
      </c>
      <c r="E18" s="27">
        <f t="shared" si="3"/>
        <v>10.06798921438218</v>
      </c>
      <c r="F18" s="27">
        <f t="shared" si="3"/>
        <v>8.0331851359359341</v>
      </c>
      <c r="G18" s="27">
        <f t="shared" si="3"/>
        <v>6.4008165043226484</v>
      </c>
      <c r="H18" s="27">
        <f t="shared" si="3"/>
        <v>5.0891557435209966</v>
      </c>
      <c r="I18" s="27">
        <f t="shared" si="3"/>
        <v>4.0369217828755009</v>
      </c>
      <c r="J18" s="27">
        <f t="shared" si="3"/>
        <v>3.1956173988099335</v>
      </c>
      <c r="K18" s="27">
        <f t="shared" si="3"/>
        <v>2.525375238974497</v>
      </c>
      <c r="L18" s="27">
        <f t="shared" si="3"/>
        <v>1.9931120792987396</v>
      </c>
      <c r="M18" s="27">
        <f t="shared" si="4"/>
        <v>1.5715140053128296</v>
      </c>
      <c r="N18" s="27">
        <f t="shared" si="4"/>
        <v>1.2382391409963469</v>
      </c>
      <c r="O18" s="27">
        <f t="shared" si="4"/>
        <v>0.97517907587485231</v>
      </c>
      <c r="P18" s="27">
        <f t="shared" si="4"/>
        <v>0.76776886075292072</v>
      </c>
      <c r="Q18" s="27">
        <f t="shared" si="4"/>
        <v>0.6043640649891322</v>
      </c>
      <c r="R18" s="27">
        <f t="shared" si="4"/>
        <v>0.47569789150547154</v>
      </c>
      <c r="S18" s="27">
        <f t="shared" si="4"/>
        <v>0.37442111413592061</v>
      </c>
      <c r="T18" s="27">
        <f t="shared" si="4"/>
        <v>0.29472020017615652</v>
      </c>
      <c r="U18" s="27">
        <f t="shared" si="4"/>
        <v>0.23200507683234903</v>
      </c>
      <c r="V18" s="27">
        <f t="shared" si="4"/>
        <v>0.18265662239366284</v>
      </c>
      <c r="W18" s="27">
        <f t="shared" si="5"/>
        <v>0.14382408178471454</v>
      </c>
      <c r="X18" s="27">
        <f t="shared" si="5"/>
        <v>0.11326348271868213</v>
      </c>
      <c r="Y18" s="27">
        <f t="shared" si="5"/>
        <v>8.9209306423275223E-2</v>
      </c>
      <c r="Z18" s="27">
        <f t="shared" si="5"/>
        <v>7.0272890432658358E-2</v>
      </c>
      <c r="AA18" s="27">
        <f t="shared" si="5"/>
        <v>5.5362181456994265E-2</v>
      </c>
      <c r="AB18" s="27">
        <f t="shared" si="5"/>
        <v>4.3618459135205991E-2</v>
      </c>
      <c r="AC18" s="27">
        <f t="shared" si="5"/>
        <v>3.4366502455658074E-2</v>
      </c>
      <c r="AD18" s="27">
        <f t="shared" si="5"/>
        <v>2.7075376343808504E-2</v>
      </c>
      <c r="AE18" s="27">
        <f t="shared" si="5"/>
        <v>2.1327592124509527E-2</v>
      </c>
      <c r="AF18" s="27">
        <f t="shared" si="5"/>
        <v>1.6794860990091212E-2</v>
      </c>
      <c r="AG18" s="27">
        <f t="shared" si="5"/>
        <v>1.3219032709203308E-2</v>
      </c>
    </row>
    <row r="19" spans="2:33">
      <c r="B19" s="26">
        <f>y_half-(13)*(2*y_half)/(25-1)</f>
        <v>-12.5</v>
      </c>
      <c r="C19" s="27">
        <f t="shared" si="3"/>
        <v>15.8</v>
      </c>
      <c r="D19" s="27">
        <f t="shared" si="3"/>
        <v>12.613000455372477</v>
      </c>
      <c r="E19" s="27">
        <f t="shared" si="3"/>
        <v>10.062776862367729</v>
      </c>
      <c r="F19" s="27">
        <f t="shared" si="3"/>
        <v>8.0058894925929689</v>
      </c>
      <c r="G19" s="27">
        <f t="shared" si="3"/>
        <v>6.3473281962378723</v>
      </c>
      <c r="H19" s="27">
        <f t="shared" si="3"/>
        <v>5.0189706904326927</v>
      </c>
      <c r="I19" s="27">
        <f t="shared" si="3"/>
        <v>3.9615366868599442</v>
      </c>
      <c r="J19" s="27">
        <f t="shared" si="3"/>
        <v>3.1232596311134384</v>
      </c>
      <c r="K19" s="27">
        <f t="shared" si="3"/>
        <v>2.4605099710952039</v>
      </c>
      <c r="L19" s="27">
        <f t="shared" si="3"/>
        <v>1.937460310756018</v>
      </c>
      <c r="M19" s="27">
        <f t="shared" si="4"/>
        <v>1.5251495384419462</v>
      </c>
      <c r="N19" s="27">
        <f t="shared" si="4"/>
        <v>1.2003883057648248</v>
      </c>
      <c r="O19" s="27">
        <f t="shared" si="4"/>
        <v>0.94471941739159671</v>
      </c>
      <c r="P19" s="27">
        <f t="shared" si="4"/>
        <v>0.74350982068692861</v>
      </c>
      <c r="Q19" s="27">
        <f t="shared" si="4"/>
        <v>0.58518932391161826</v>
      </c>
      <c r="R19" s="27">
        <f t="shared" si="4"/>
        <v>0.46062655921486928</v>
      </c>
      <c r="S19" s="27">
        <f t="shared" si="4"/>
        <v>0.3626243584815575</v>
      </c>
      <c r="T19" s="27">
        <f t="shared" si="4"/>
        <v>0.28551525987944026</v>
      </c>
      <c r="U19" s="27">
        <f t="shared" si="4"/>
        <v>0.22483920075830846</v>
      </c>
      <c r="V19" s="27">
        <f t="shared" si="4"/>
        <v>0.17708776643679783</v>
      </c>
      <c r="W19" s="27">
        <f t="shared" si="5"/>
        <v>0.13950185526388886</v>
      </c>
      <c r="X19" s="27">
        <f t="shared" si="5"/>
        <v>0.1099119481621687</v>
      </c>
      <c r="Y19" s="27">
        <f t="shared" si="5"/>
        <v>8.6612208844615152E-2</v>
      </c>
      <c r="Z19" s="27">
        <f t="shared" si="5"/>
        <v>6.8261361602723253E-2</v>
      </c>
      <c r="AA19" s="27">
        <f t="shared" si="5"/>
        <v>5.3804714250497029E-2</v>
      </c>
      <c r="AB19" s="27">
        <f t="shared" si="5"/>
        <v>4.2412849624543156E-2</v>
      </c>
      <c r="AC19" s="27">
        <f t="shared" si="5"/>
        <v>3.3433439890803419E-2</v>
      </c>
      <c r="AD19" s="27">
        <f t="shared" si="5"/>
        <v>2.6353382250746259E-2</v>
      </c>
      <c r="AE19" s="27">
        <f t="shared" si="5"/>
        <v>2.0769046830719218E-2</v>
      </c>
      <c r="AF19" s="27">
        <f t="shared" si="5"/>
        <v>1.6362896988475768E-2</v>
      </c>
      <c r="AG19" s="27">
        <f t="shared" si="5"/>
        <v>1.288511348924159E-2</v>
      </c>
    </row>
    <row r="20" spans="2:33">
      <c r="B20" s="26">
        <f>y_half-(14)*(2*y_half)/(25-1)</f>
        <v>-25</v>
      </c>
      <c r="C20" s="27">
        <f t="shared" si="3"/>
        <v>15.8</v>
      </c>
      <c r="D20" s="27">
        <f t="shared" si="3"/>
        <v>12.600257726304944</v>
      </c>
      <c r="E20" s="27">
        <f t="shared" si="3"/>
        <v>9.9217987957277867</v>
      </c>
      <c r="F20" s="27">
        <f t="shared" si="3"/>
        <v>7.7358244085454606</v>
      </c>
      <c r="G20" s="27">
        <f t="shared" si="3"/>
        <v>6.0201365166500418</v>
      </c>
      <c r="H20" s="27">
        <f t="shared" si="3"/>
        <v>4.6899826254391881</v>
      </c>
      <c r="I20" s="27">
        <f t="shared" si="3"/>
        <v>3.6604492252271705</v>
      </c>
      <c r="J20" s="27">
        <f t="shared" si="3"/>
        <v>2.8622354610937988</v>
      </c>
      <c r="K20" s="27">
        <f t="shared" si="3"/>
        <v>2.2417760602109698</v>
      </c>
      <c r="L20" s="27">
        <f t="shared" si="3"/>
        <v>1.7582548390688266</v>
      </c>
      <c r="M20" s="27">
        <f t="shared" si="4"/>
        <v>1.3806015753711109</v>
      </c>
      <c r="N20" s="27">
        <f t="shared" si="4"/>
        <v>1.0850810129672808</v>
      </c>
      <c r="O20" s="27">
        <f t="shared" si="4"/>
        <v>0.85347440397860641</v>
      </c>
      <c r="P20" s="27">
        <f t="shared" si="4"/>
        <v>0.67173149638471441</v>
      </c>
      <c r="Q20" s="27">
        <f t="shared" si="4"/>
        <v>0.52897181751975753</v>
      </c>
      <c r="R20" s="27">
        <f t="shared" si="4"/>
        <v>0.41674032456108978</v>
      </c>
      <c r="S20" s="27">
        <f t="shared" si="4"/>
        <v>0.32844816061551535</v>
      </c>
      <c r="T20" s="27">
        <f t="shared" si="4"/>
        <v>0.25894906902223058</v>
      </c>
      <c r="U20" s="27">
        <f t="shared" si="4"/>
        <v>0.2042162110828129</v>
      </c>
      <c r="V20" s="27">
        <f t="shared" si="4"/>
        <v>0.16109405499794741</v>
      </c>
      <c r="W20" s="27">
        <f t="shared" si="5"/>
        <v>0.1271069236287988</v>
      </c>
      <c r="X20" s="27">
        <f t="shared" si="5"/>
        <v>0.10031065258784852</v>
      </c>
      <c r="Y20" s="27">
        <f t="shared" si="5"/>
        <v>7.91772722725438E-2</v>
      </c>
      <c r="Z20" s="27">
        <f t="shared" si="5"/>
        <v>6.2505126912571818E-2</v>
      </c>
      <c r="AA20" s="27">
        <f t="shared" si="5"/>
        <v>4.9348673438077403E-2</v>
      </c>
      <c r="AB20" s="27">
        <f t="shared" si="5"/>
        <v>3.8963559536617502E-2</v>
      </c>
      <c r="AC20" s="27">
        <f t="shared" si="5"/>
        <v>3.0763597190718073E-2</v>
      </c>
      <c r="AD20" s="27">
        <f t="shared" si="5"/>
        <v>2.4287017471903642E-2</v>
      </c>
      <c r="AE20" s="27">
        <f t="shared" si="5"/>
        <v>1.9169979170804412E-2</v>
      </c>
      <c r="AF20" s="27">
        <f t="shared" si="5"/>
        <v>1.5125754228440834E-2</v>
      </c>
      <c r="AG20" s="27">
        <f t="shared" si="5"/>
        <v>1.1928360462325312E-2</v>
      </c>
    </row>
    <row r="21" spans="2:33">
      <c r="B21" s="26">
        <f>y_half-(15)*(2*y_half)/(25-1)</f>
        <v>-37.5</v>
      </c>
      <c r="C21" s="27">
        <f t="shared" si="3"/>
        <v>15.8</v>
      </c>
      <c r="D21" s="27">
        <f t="shared" si="3"/>
        <v>11.83889077543197</v>
      </c>
      <c r="E21" s="27">
        <f t="shared" si="3"/>
        <v>8.6830358079046093</v>
      </c>
      <c r="F21" s="27">
        <f t="shared" si="3"/>
        <v>6.5377543773744673</v>
      </c>
      <c r="G21" s="27">
        <f t="shared" si="3"/>
        <v>5.0017576672541564</v>
      </c>
      <c r="H21" s="27">
        <f t="shared" si="3"/>
        <v>3.8644132938864511</v>
      </c>
      <c r="I21" s="27">
        <f t="shared" si="3"/>
        <v>3.0050735513162419</v>
      </c>
      <c r="J21" s="27">
        <f t="shared" si="3"/>
        <v>2.3473770717233116</v>
      </c>
      <c r="K21" s="27">
        <f t="shared" si="3"/>
        <v>1.8396155939868248</v>
      </c>
      <c r="L21" s="27">
        <f t="shared" si="3"/>
        <v>1.4451911541176772</v>
      </c>
      <c r="M21" s="27">
        <f t="shared" si="4"/>
        <v>1.1374241049010947</v>
      </c>
      <c r="N21" s="27">
        <f t="shared" si="4"/>
        <v>0.89646413837766858</v>
      </c>
      <c r="O21" s="27">
        <f t="shared" si="4"/>
        <v>0.7073244573537355</v>
      </c>
      <c r="P21" s="27">
        <f t="shared" si="4"/>
        <v>0.55856707841648257</v>
      </c>
      <c r="Q21" s="27">
        <f t="shared" si="4"/>
        <v>0.44139074395306827</v>
      </c>
      <c r="R21" s="27">
        <f t="shared" si="4"/>
        <v>0.34898039704820938</v>
      </c>
      <c r="S21" s="27">
        <f t="shared" si="4"/>
        <v>0.27603318373919217</v>
      </c>
      <c r="T21" s="27">
        <f t="shared" si="4"/>
        <v>0.21840721310495997</v>
      </c>
      <c r="U21" s="27">
        <f t="shared" si="4"/>
        <v>0.17285776400985806</v>
      </c>
      <c r="V21" s="27">
        <f t="shared" si="4"/>
        <v>0.13683702379489152</v>
      </c>
      <c r="W21" s="27">
        <f t="shared" si="5"/>
        <v>0.10834074053474088</v>
      </c>
      <c r="X21" s="27">
        <f t="shared" si="5"/>
        <v>8.5789985368355637E-2</v>
      </c>
      <c r="Y21" s="27">
        <f t="shared" si="5"/>
        <v>6.7939482754335881E-2</v>
      </c>
      <c r="Z21" s="27">
        <f t="shared" si="5"/>
        <v>5.3806226905194418E-2</v>
      </c>
      <c r="AA21" s="27">
        <f t="shared" si="5"/>
        <v>4.2613701645012284E-2</v>
      </c>
      <c r="AB21" s="27">
        <f t="shared" si="5"/>
        <v>3.3748172732192223E-2</v>
      </c>
      <c r="AC21" s="27">
        <f t="shared" si="5"/>
        <v>2.6724364691890597E-2</v>
      </c>
      <c r="AD21" s="27">
        <f t="shared" si="5"/>
        <v>2.1158459814380304E-2</v>
      </c>
      <c r="AE21" s="27">
        <f t="shared" si="5"/>
        <v>1.674682683307286E-2</v>
      </c>
      <c r="AF21" s="27">
        <f t="shared" si="5"/>
        <v>1.3249243292956034E-2</v>
      </c>
      <c r="AG21" s="27">
        <f t="shared" si="5"/>
        <v>1.0475648457579168E-2</v>
      </c>
    </row>
    <row r="22" spans="2:33">
      <c r="B22" s="26">
        <f>y_half-(16)*(2*y_half)/(25-1)</f>
        <v>-50</v>
      </c>
      <c r="C22" s="27">
        <f t="shared" si="3"/>
        <v>15.8</v>
      </c>
      <c r="D22" s="27">
        <f t="shared" si="3"/>
        <v>6.3065117590378872</v>
      </c>
      <c r="E22" s="27">
        <f t="shared" si="3"/>
        <v>5.0340585461223251</v>
      </c>
      <c r="F22" s="27">
        <f t="shared" si="3"/>
        <v>4.018059240859353</v>
      </c>
      <c r="G22" s="27">
        <f t="shared" si="3"/>
        <v>3.2068997330764395</v>
      </c>
      <c r="H22" s="27">
        <f t="shared" si="3"/>
        <v>2.5593354432214799</v>
      </c>
      <c r="I22" s="27">
        <f t="shared" si="3"/>
        <v>2.042412088807303</v>
      </c>
      <c r="J22" s="27">
        <f t="shared" si="3"/>
        <v>1.6298014249246653</v>
      </c>
      <c r="K22" s="27">
        <f t="shared" si="3"/>
        <v>1.3004706351153879</v>
      </c>
      <c r="L22" s="27">
        <f t="shared" si="3"/>
        <v>1.0376199737053506</v>
      </c>
      <c r="M22" s="27">
        <f t="shared" si="4"/>
        <v>0.82783424921897208</v>
      </c>
      <c r="N22" s="27">
        <f t="shared" si="4"/>
        <v>0.66040389911416875</v>
      </c>
      <c r="O22" s="27">
        <f t="shared" si="4"/>
        <v>0.52678107300913468</v>
      </c>
      <c r="P22" s="27">
        <f t="shared" si="4"/>
        <v>0.4201439335191956</v>
      </c>
      <c r="Q22" s="27">
        <f t="shared" si="4"/>
        <v>0.33504804869830468</v>
      </c>
      <c r="R22" s="27">
        <f t="shared" si="4"/>
        <v>0.26714787436195087</v>
      </c>
      <c r="S22" s="27">
        <f t="shared" si="4"/>
        <v>0.21297450610031821</v>
      </c>
      <c r="T22" s="27">
        <f t="shared" si="4"/>
        <v>0.16975846692581559</v>
      </c>
      <c r="U22" s="27">
        <f t="shared" si="4"/>
        <v>0.13528844527842779</v>
      </c>
      <c r="V22" s="27">
        <f t="shared" si="4"/>
        <v>0.10779868150513117</v>
      </c>
      <c r="W22" s="27">
        <f t="shared" si="5"/>
        <v>8.5879165055628315E-2</v>
      </c>
      <c r="X22" s="27">
        <f t="shared" si="5"/>
        <v>6.8403991962008262E-2</v>
      </c>
      <c r="Y22" s="27">
        <f t="shared" si="5"/>
        <v>5.4474185294758101E-2</v>
      </c>
      <c r="Z22" s="27">
        <f t="shared" si="5"/>
        <v>4.3372041009083373E-2</v>
      </c>
      <c r="AA22" s="27">
        <f t="shared" si="5"/>
        <v>3.4524664614708836E-2</v>
      </c>
      <c r="AB22" s="27">
        <f t="shared" si="5"/>
        <v>2.7474841819363705E-2</v>
      </c>
      <c r="AC22" s="27">
        <f t="shared" si="5"/>
        <v>2.1857764640834658E-2</v>
      </c>
      <c r="AD22" s="27">
        <f t="shared" si="5"/>
        <v>1.7382434371051039E-2</v>
      </c>
      <c r="AE22" s="27">
        <f t="shared" si="5"/>
        <v>1.3816800835526903E-2</v>
      </c>
      <c r="AF22" s="27">
        <f t="shared" si="5"/>
        <v>1.0975886728915696E-2</v>
      </c>
      <c r="AG22" s="27">
        <f t="shared" si="5"/>
        <v>8.7122967066210564E-3</v>
      </c>
    </row>
    <row r="23" spans="2:33">
      <c r="B23" s="26">
        <f>y_half-(17)*(2*y_half)/(25-1)</f>
        <v>-62.5</v>
      </c>
      <c r="C23" s="27">
        <f t="shared" si="3"/>
        <v>0</v>
      </c>
      <c r="D23" s="27">
        <f t="shared" si="3"/>
        <v>0.77413274264380327</v>
      </c>
      <c r="E23" s="27">
        <f t="shared" si="3"/>
        <v>1.3850812843399312</v>
      </c>
      <c r="F23" s="27">
        <f t="shared" si="3"/>
        <v>1.4983641025634218</v>
      </c>
      <c r="G23" s="27">
        <f t="shared" si="3"/>
        <v>1.4120415914175541</v>
      </c>
      <c r="H23" s="27">
        <f t="shared" si="3"/>
        <v>1.2542542929745062</v>
      </c>
      <c r="I23" s="27">
        <f t="shared" si="3"/>
        <v>1.0797314229275228</v>
      </c>
      <c r="J23" s="27">
        <f t="shared" si="3"/>
        <v>0.91216313595269394</v>
      </c>
      <c r="K23" s="27">
        <f t="shared" si="3"/>
        <v>0.7611836568680006</v>
      </c>
      <c r="L23" s="27">
        <f t="shared" si="3"/>
        <v>0.62979635251384591</v>
      </c>
      <c r="M23" s="27">
        <f t="shared" si="4"/>
        <v>0.51786601352449269</v>
      </c>
      <c r="N23" s="27">
        <f t="shared" si="4"/>
        <v>0.42384259977269095</v>
      </c>
      <c r="O23" s="27">
        <f t="shared" si="4"/>
        <v>0.34563292010703511</v>
      </c>
      <c r="P23" s="27">
        <f t="shared" si="4"/>
        <v>0.28104091452329805</v>
      </c>
      <c r="Q23" s="27">
        <f t="shared" si="4"/>
        <v>0.22798236175043435</v>
      </c>
      <c r="R23" s="27">
        <f t="shared" si="4"/>
        <v>0.18457975820506159</v>
      </c>
      <c r="S23" s="27">
        <f t="shared" si="4"/>
        <v>0.14919365581413546</v>
      </c>
      <c r="T23" s="27">
        <f t="shared" si="4"/>
        <v>0.12042111973637476</v>
      </c>
      <c r="U23" s="27">
        <f t="shared" si="4"/>
        <v>9.7078197069811009E-2</v>
      </c>
      <c r="V23" s="27">
        <f t="shared" si="4"/>
        <v>7.8175690812281248E-2</v>
      </c>
      <c r="W23" s="27">
        <f t="shared" si="5"/>
        <v>6.2893269152114031E-2</v>
      </c>
      <c r="X23" s="27">
        <f t="shared" si="5"/>
        <v>5.0554525695274612E-2</v>
      </c>
      <c r="Y23" s="27">
        <f t="shared" si="5"/>
        <v>4.0604239317090847E-2</v>
      </c>
      <c r="Z23" s="27">
        <f t="shared" si="5"/>
        <v>3.2588316713312665E-2</v>
      </c>
      <c r="AA23" s="27">
        <f t="shared" si="5"/>
        <v>2.6136482790407312E-2</v>
      </c>
      <c r="AB23" s="27">
        <f t="shared" si="5"/>
        <v>2.0947567330835765E-2</v>
      </c>
      <c r="AC23" s="27">
        <f t="shared" si="5"/>
        <v>1.6777135402466465E-2</v>
      </c>
      <c r="AD23" s="27">
        <f t="shared" si="5"/>
        <v>1.3427173519480034E-2</v>
      </c>
      <c r="AE23" s="27">
        <f t="shared" si="5"/>
        <v>1.0737544034717909E-2</v>
      </c>
      <c r="AF23" s="27">
        <f t="shared" si="5"/>
        <v>8.5789393010952328E-3</v>
      </c>
      <c r="AG23" s="27">
        <f t="shared" si="5"/>
        <v>6.8470947026339221E-3</v>
      </c>
    </row>
    <row r="24" spans="2:33">
      <c r="B24" s="26">
        <f>y_half-(18)*(2*y_half)/(25-1)</f>
        <v>-75</v>
      </c>
      <c r="C24" s="27">
        <f t="shared" si="3"/>
        <v>0</v>
      </c>
      <c r="D24" s="27">
        <f t="shared" si="3"/>
        <v>1.2765791770830688E-2</v>
      </c>
      <c r="E24" s="27">
        <f t="shared" si="3"/>
        <v>0.14631829622288944</v>
      </c>
      <c r="F24" s="27">
        <f t="shared" si="3"/>
        <v>0.30029371236571695</v>
      </c>
      <c r="G24" s="27">
        <f t="shared" si="3"/>
        <v>0.39365122626661891</v>
      </c>
      <c r="H24" s="27">
        <f t="shared" si="3"/>
        <v>0.42860000272226112</v>
      </c>
      <c r="I24" s="27">
        <f t="shared" si="3"/>
        <v>0.42405700935149609</v>
      </c>
      <c r="J24" s="27">
        <f t="shared" si="3"/>
        <v>0.39661890468057043</v>
      </c>
      <c r="K24" s="27">
        <f t="shared" si="3"/>
        <v>0.35781866294067438</v>
      </c>
      <c r="L24" s="27">
        <f t="shared" si="3"/>
        <v>0.31496453784367895</v>
      </c>
      <c r="M24" s="27">
        <f t="shared" si="4"/>
        <v>0.27240041052527836</v>
      </c>
      <c r="N24" s="27">
        <f t="shared" si="4"/>
        <v>0.23252480545220727</v>
      </c>
      <c r="O24" s="27">
        <f t="shared" si="4"/>
        <v>0.19650788472394945</v>
      </c>
      <c r="P24" s="27">
        <f t="shared" si="4"/>
        <v>0.16476966426862782</v>
      </c>
      <c r="Q24" s="27">
        <f t="shared" si="4"/>
        <v>0.13729035820274815</v>
      </c>
      <c r="R24" s="27">
        <f t="shared" si="4"/>
        <v>0.11380792427176797</v>
      </c>
      <c r="S24" s="27">
        <f t="shared" si="4"/>
        <v>9.3941416319697185E-2</v>
      </c>
      <c r="T24" s="27">
        <f t="shared" si="4"/>
        <v>7.7266151670735722E-2</v>
      </c>
      <c r="U24" s="27">
        <f t="shared" si="4"/>
        <v>6.3357907408339603E-2</v>
      </c>
      <c r="V24" s="27">
        <f t="shared" si="4"/>
        <v>5.181743698375927E-2</v>
      </c>
      <c r="W24" s="27">
        <f t="shared" si="5"/>
        <v>4.2282670266718329E-2</v>
      </c>
      <c r="X24" s="27">
        <f t="shared" si="5"/>
        <v>3.443337218734395E-2</v>
      </c>
      <c r="Y24" s="27">
        <f t="shared" si="5"/>
        <v>2.7991335843956952E-2</v>
      </c>
      <c r="Z24" s="27">
        <f t="shared" si="5"/>
        <v>2.2718072716564331E-2</v>
      </c>
      <c r="AA24" s="27">
        <f t="shared" si="5"/>
        <v>1.8411235140226818E-2</v>
      </c>
      <c r="AB24" s="27">
        <f t="shared" si="5"/>
        <v>1.4900532509851596E-2</v>
      </c>
      <c r="AC24" s="27">
        <f t="shared" si="5"/>
        <v>1.2043595974170193E-2</v>
      </c>
      <c r="AD24" s="27">
        <f t="shared" si="5"/>
        <v>9.7220494559146862E-3</v>
      </c>
      <c r="AE24" s="27">
        <f t="shared" si="5"/>
        <v>7.8379200206358385E-3</v>
      </c>
      <c r="AF24" s="27">
        <f t="shared" si="5"/>
        <v>6.310443040648781E-3</v>
      </c>
      <c r="AG24" s="27">
        <f t="shared" si="5"/>
        <v>5.073270840342428E-3</v>
      </c>
    </row>
    <row r="25" spans="2:33">
      <c r="B25" s="26">
        <f>y_half-(19)*(2*y_half)/(25-1)</f>
        <v>-87.5</v>
      </c>
      <c r="C25" s="27">
        <f t="shared" si="3"/>
        <v>0</v>
      </c>
      <c r="D25" s="27">
        <f t="shared" si="3"/>
        <v>2.3062703222999418E-5</v>
      </c>
      <c r="E25" s="27">
        <f t="shared" si="3"/>
        <v>5.3399853990397676E-3</v>
      </c>
      <c r="F25" s="27">
        <f t="shared" si="3"/>
        <v>3.0195312188545802E-2</v>
      </c>
      <c r="G25" s="27">
        <f t="shared" si="3"/>
        <v>6.6105143440540401E-2</v>
      </c>
      <c r="H25" s="27">
        <f t="shared" si="3"/>
        <v>9.8270865920301528E-2</v>
      </c>
      <c r="I25" s="27">
        <f t="shared" si="3"/>
        <v>0.11995819918251005</v>
      </c>
      <c r="J25" s="27">
        <f t="shared" si="3"/>
        <v>0.13058609094340001</v>
      </c>
      <c r="K25" s="27">
        <f t="shared" si="3"/>
        <v>0.13218379014233081</v>
      </c>
      <c r="L25" s="27">
        <f t="shared" si="3"/>
        <v>0.12737414214384379</v>
      </c>
      <c r="M25" s="27">
        <f t="shared" si="4"/>
        <v>0.11852280746784499</v>
      </c>
      <c r="N25" s="27">
        <f t="shared" si="4"/>
        <v>0.1074798154034768</v>
      </c>
      <c r="O25" s="27">
        <f t="shared" si="4"/>
        <v>9.5574578877916566E-2</v>
      </c>
      <c r="P25" s="27">
        <f t="shared" si="4"/>
        <v>8.3700285084184395E-2</v>
      </c>
      <c r="Q25" s="27">
        <f t="shared" si="4"/>
        <v>7.241612629784297E-2</v>
      </c>
      <c r="R25" s="27">
        <f t="shared" si="4"/>
        <v>6.2039731174937669E-2</v>
      </c>
      <c r="S25" s="27">
        <f t="shared" si="4"/>
        <v>5.2721643004564951E-2</v>
      </c>
      <c r="T25" s="27">
        <f t="shared" si="4"/>
        <v>4.4501695720600455E-2</v>
      </c>
      <c r="U25" s="27">
        <f t="shared" si="4"/>
        <v>3.7349963652177902E-2</v>
      </c>
      <c r="V25" s="27">
        <f t="shared" si="4"/>
        <v>3.1195564646079161E-2</v>
      </c>
      <c r="W25" s="27">
        <f t="shared" si="5"/>
        <v>2.5946330799206802E-2</v>
      </c>
      <c r="X25" s="27">
        <f t="shared" si="5"/>
        <v>2.1501825441773936E-2</v>
      </c>
      <c r="Y25" s="27">
        <f t="shared" si="5"/>
        <v>1.7761629429333584E-2</v>
      </c>
      <c r="Z25" s="27">
        <f t="shared" si="5"/>
        <v>1.4630336333522998E-2</v>
      </c>
      <c r="AA25" s="27">
        <f t="shared" si="5"/>
        <v>1.202030774564255E-2</v>
      </c>
      <c r="AB25" s="27">
        <f t="shared" si="5"/>
        <v>9.852941605153237E-3</v>
      </c>
      <c r="AC25" s="27">
        <f t="shared" si="5"/>
        <v>8.0589837941285967E-3</v>
      </c>
      <c r="AD25" s="27">
        <f t="shared" si="5"/>
        <v>6.5782503292933338E-3</v>
      </c>
      <c r="AE25" s="27">
        <f t="shared" si="5"/>
        <v>5.3590101423632184E-3</v>
      </c>
      <c r="AF25" s="27">
        <f t="shared" si="5"/>
        <v>4.3571950540369081E-3</v>
      </c>
      <c r="AG25" s="27">
        <f t="shared" si="5"/>
        <v>3.5355450610113715E-3</v>
      </c>
    </row>
    <row r="26" spans="2:33">
      <c r="B26" s="26">
        <f>y_half-(20)*(2*y_half)/(25-1)</f>
        <v>-100</v>
      </c>
      <c r="C26" s="27">
        <f t="shared" si="3"/>
        <v>0</v>
      </c>
      <c r="D26" s="27">
        <f t="shared" si="3"/>
        <v>4.2174744865047771E-9</v>
      </c>
      <c r="E26" s="27">
        <f t="shared" si="3"/>
        <v>6.3938931235124247E-5</v>
      </c>
      <c r="F26" s="27">
        <f t="shared" si="3"/>
        <v>1.4666728954683651E-3</v>
      </c>
      <c r="G26" s="27">
        <f t="shared" si="3"/>
        <v>6.4914830597270698E-3</v>
      </c>
      <c r="H26" s="27">
        <f t="shared" si="3"/>
        <v>1.47576574474516E-2</v>
      </c>
      <c r="I26" s="27">
        <f t="shared" si="3"/>
        <v>2.3952145763774444E-2</v>
      </c>
      <c r="J26" s="27">
        <f t="shared" si="3"/>
        <v>3.1997716780024041E-2</v>
      </c>
      <c r="K26" s="27">
        <f t="shared" si="3"/>
        <v>3.7799533389220909E-2</v>
      </c>
      <c r="L26" s="27">
        <f t="shared" si="3"/>
        <v>4.1104015474356922E-2</v>
      </c>
      <c r="M26" s="27">
        <f t="shared" si="4"/>
        <v>4.2155464890750144E-2</v>
      </c>
      <c r="N26" s="27">
        <f t="shared" si="4"/>
        <v>4.1414534649990294E-2</v>
      </c>
      <c r="O26" s="27">
        <f t="shared" si="4"/>
        <v>3.9383843710854689E-2</v>
      </c>
      <c r="P26" s="27">
        <f t="shared" si="4"/>
        <v>3.6518481172266845E-2</v>
      </c>
      <c r="Q26" s="27">
        <f t="shared" si="4"/>
        <v>3.3190283660224293E-2</v>
      </c>
      <c r="R26" s="27">
        <f t="shared" si="4"/>
        <v>2.9681885008585339E-2</v>
      </c>
      <c r="S26" s="27">
        <f t="shared" si="4"/>
        <v>2.6195151124666437E-2</v>
      </c>
      <c r="T26" s="27">
        <f t="shared" si="4"/>
        <v>2.2865115700148531E-2</v>
      </c>
      <c r="U26" s="27">
        <f t="shared" si="4"/>
        <v>1.9774728446088088E-2</v>
      </c>
      <c r="V26" s="27">
        <f t="shared" si="4"/>
        <v>1.6968212871707872E-2</v>
      </c>
      <c r="W26" s="27">
        <f t="shared" si="5"/>
        <v>1.4462208632272518E-2</v>
      </c>
      <c r="X26" s="27">
        <f t="shared" si="5"/>
        <v>1.2254584818506775E-2</v>
      </c>
      <c r="Y26" s="27">
        <f t="shared" si="5"/>
        <v>1.0331140796390076E-2</v>
      </c>
      <c r="Z26" s="27">
        <f t="shared" si="5"/>
        <v>8.6705340750625592E-3</v>
      </c>
      <c r="AA26" s="27">
        <f t="shared" si="5"/>
        <v>7.2477915061783527E-3</v>
      </c>
      <c r="AB26" s="27">
        <f t="shared" si="5"/>
        <v>6.0367278556401381E-3</v>
      </c>
      <c r="AC26" s="27">
        <f t="shared" si="5"/>
        <v>5.0115451706480045E-3</v>
      </c>
      <c r="AD26" s="27">
        <f t="shared" si="5"/>
        <v>4.1478330683661175E-3</v>
      </c>
      <c r="AE26" s="27">
        <f t="shared" si="5"/>
        <v>3.4231413800977746E-3</v>
      </c>
      <c r="AF26" s="27">
        <f t="shared" si="5"/>
        <v>2.8172552650635382E-3</v>
      </c>
      <c r="AG26" s="27">
        <f t="shared" si="5"/>
        <v>2.3122694238042097E-3</v>
      </c>
    </row>
    <row r="27" spans="2:33">
      <c r="B27" s="26">
        <f>y_half-(21)*(2*y_half)/(25-1)</f>
        <v>-112.5</v>
      </c>
      <c r="C27" s="27">
        <f t="shared" si="3"/>
        <v>0</v>
      </c>
      <c r="D27" s="27">
        <f t="shared" si="3"/>
        <v>7.5617653247494125E-14</v>
      </c>
      <c r="E27" s="27">
        <f t="shared" si="3"/>
        <v>2.4447788196133154E-7</v>
      </c>
      <c r="F27" s="27">
        <f t="shared" si="3"/>
        <v>3.3676945354763127E-5</v>
      </c>
      <c r="G27" s="27">
        <f t="shared" si="3"/>
        <v>3.6613076368951136E-4</v>
      </c>
      <c r="H27" s="27">
        <f t="shared" si="3"/>
        <v>1.4295020628256165E-3</v>
      </c>
      <c r="I27" s="27">
        <f t="shared" si="3"/>
        <v>3.3311883522040182E-3</v>
      </c>
      <c r="J27" s="27">
        <f t="shared" si="3"/>
        <v>5.7671100942528796E-3</v>
      </c>
      <c r="K27" s="27">
        <f t="shared" si="3"/>
        <v>8.2805421330333692E-3</v>
      </c>
      <c r="L27" s="27">
        <f t="shared" si="3"/>
        <v>1.0485642900583427E-2</v>
      </c>
      <c r="M27" s="27">
        <f t="shared" si="4"/>
        <v>1.2152531085323069E-2</v>
      </c>
      <c r="N27" s="27">
        <f t="shared" si="4"/>
        <v>1.3199915945044615E-2</v>
      </c>
      <c r="O27" s="27">
        <f t="shared" si="4"/>
        <v>1.3652354820951436E-2</v>
      </c>
      <c r="P27" s="27">
        <f t="shared" si="4"/>
        <v>1.3594892320550053E-2</v>
      </c>
      <c r="Q27" s="27">
        <f t="shared" si="4"/>
        <v>1.3137741235879021E-2</v>
      </c>
      <c r="R27" s="27">
        <f t="shared" si="4"/>
        <v>1.2393114597422407E-2</v>
      </c>
      <c r="S27" s="27">
        <f t="shared" si="4"/>
        <v>1.1462180413362912E-2</v>
      </c>
      <c r="T27" s="27">
        <f t="shared" si="4"/>
        <v>1.0429165524226692E-2</v>
      </c>
      <c r="U27" s="27">
        <f t="shared" si="4"/>
        <v>9.3599630320745936E-3</v>
      </c>
      <c r="V27" s="27">
        <f t="shared" si="4"/>
        <v>8.3032735293673641E-3</v>
      </c>
      <c r="W27" s="27">
        <f t="shared" si="5"/>
        <v>7.2929585226574898E-3</v>
      </c>
      <c r="X27" s="27">
        <f t="shared" si="5"/>
        <v>6.3507897402523376E-3</v>
      </c>
      <c r="Y27" s="27">
        <f t="shared" si="5"/>
        <v>5.4891323586848508E-3</v>
      </c>
      <c r="Z27" s="27">
        <f t="shared" si="5"/>
        <v>4.713331299005097E-3</v>
      </c>
      <c r="AA27" s="27">
        <f t="shared" si="5"/>
        <v>4.0237112474686065E-3</v>
      </c>
      <c r="AB27" s="27">
        <f t="shared" si="5"/>
        <v>3.4171818401706609E-3</v>
      </c>
      <c r="AC27" s="27">
        <f t="shared" si="5"/>
        <v>2.8884812479257217E-3</v>
      </c>
      <c r="AD27" s="27">
        <f t="shared" si="5"/>
        <v>2.431109382422351E-3</v>
      </c>
      <c r="AE27" s="27">
        <f t="shared" si="5"/>
        <v>2.0380061936562137E-3</v>
      </c>
      <c r="AF27" s="27">
        <f t="shared" si="5"/>
        <v>1.702027462147041E-3</v>
      </c>
      <c r="AG27" s="27">
        <f t="shared" si="5"/>
        <v>1.4162640381289351E-3</v>
      </c>
    </row>
    <row r="28" spans="2:33">
      <c r="B28" s="26">
        <f>y_half-(22)*(2*y_half)/(25-1)</f>
        <v>-125</v>
      </c>
      <c r="C28" s="27">
        <f t="shared" si="3"/>
        <v>0</v>
      </c>
      <c r="D28" s="27">
        <f t="shared" si="3"/>
        <v>0</v>
      </c>
      <c r="E28" s="27">
        <f t="shared" si="3"/>
        <v>2.9397424393774087E-10</v>
      </c>
      <c r="F28" s="27">
        <f t="shared" si="3"/>
        <v>3.6081569306326417E-7</v>
      </c>
      <c r="G28" s="27">
        <f t="shared" si="3"/>
        <v>1.1727525403140089E-5</v>
      </c>
      <c r="H28" s="27">
        <f t="shared" si="3"/>
        <v>8.8430241325708012E-5</v>
      </c>
      <c r="I28" s="27">
        <f t="shared" si="3"/>
        <v>3.1983921901221769E-4</v>
      </c>
      <c r="J28" s="27">
        <f t="shared" si="3"/>
        <v>7.5845774357474662E-4</v>
      </c>
      <c r="K28" s="27">
        <f t="shared" si="3"/>
        <v>1.3795195952996675E-3</v>
      </c>
      <c r="L28" s="27">
        <f t="shared" si="3"/>
        <v>2.1004562749947502E-3</v>
      </c>
      <c r="M28" s="27">
        <f t="shared" si="4"/>
        <v>2.8220806330733175E-3</v>
      </c>
      <c r="N28" s="27">
        <f t="shared" si="4"/>
        <v>3.4602652340143861E-3</v>
      </c>
      <c r="O28" s="27">
        <f t="shared" si="4"/>
        <v>3.9601522292754404E-3</v>
      </c>
      <c r="P28" s="27">
        <f t="shared" si="4"/>
        <v>4.2970546878559031E-3</v>
      </c>
      <c r="Q28" s="27">
        <f t="shared" si="4"/>
        <v>4.4705038896644617E-3</v>
      </c>
      <c r="R28" s="27">
        <f t="shared" si="4"/>
        <v>4.496271556910912E-3</v>
      </c>
      <c r="S28" s="27">
        <f t="shared" si="4"/>
        <v>4.3990216455424905E-3</v>
      </c>
      <c r="T28" s="27">
        <f t="shared" si="4"/>
        <v>4.2066499840773559E-3</v>
      </c>
      <c r="U28" s="27">
        <f t="shared" si="4"/>
        <v>3.9464597502794629E-3</v>
      </c>
      <c r="V28" s="27">
        <f t="shared" si="4"/>
        <v>3.6429054610122207E-3</v>
      </c>
      <c r="W28" s="27">
        <f t="shared" si="5"/>
        <v>3.3165115475939687E-3</v>
      </c>
      <c r="X28" s="27">
        <f t="shared" si="5"/>
        <v>2.9835871575099814E-3</v>
      </c>
      <c r="Y28" s="27">
        <f t="shared" si="5"/>
        <v>2.6564298219673194E-3</v>
      </c>
      <c r="Z28" s="27">
        <f t="shared" si="5"/>
        <v>2.3437922215586212E-3</v>
      </c>
      <c r="AA28" s="27">
        <f t="shared" si="5"/>
        <v>2.0514586832958829E-3</v>
      </c>
      <c r="AB28" s="27">
        <f t="shared" si="5"/>
        <v>1.7828348468231154E-3</v>
      </c>
      <c r="AC28" s="27">
        <f t="shared" si="5"/>
        <v>1.5394951012589514E-3</v>
      </c>
      <c r="AD28" s="27">
        <f t="shared" si="5"/>
        <v>1.3216603941319691E-3</v>
      </c>
      <c r="AE28" s="27">
        <f t="shared" si="5"/>
        <v>1.1285969340582484E-3</v>
      </c>
      <c r="AF28" s="27">
        <f t="shared" si="5"/>
        <v>9.5893699347413994E-4</v>
      </c>
      <c r="AG28" s="27">
        <f t="shared" si="5"/>
        <v>8.1092877713184438E-4</v>
      </c>
    </row>
    <row r="29" spans="2:33">
      <c r="B29" s="26">
        <f>y_half-(23)*(2*y_half)/(25-1)</f>
        <v>-137.5</v>
      </c>
      <c r="C29" s="27">
        <f t="shared" si="3"/>
        <v>0</v>
      </c>
      <c r="D29" s="27">
        <f t="shared" si="3"/>
        <v>0</v>
      </c>
      <c r="E29" s="27">
        <f t="shared" si="3"/>
        <v>1.101018757927561E-13</v>
      </c>
      <c r="F29" s="27">
        <f t="shared" si="3"/>
        <v>1.7889755383935004E-9</v>
      </c>
      <c r="G29" s="27">
        <f t="shared" si="3"/>
        <v>2.1175825283101706E-7</v>
      </c>
      <c r="H29" s="27">
        <f t="shared" si="3"/>
        <v>3.4702141087351973E-6</v>
      </c>
      <c r="I29" s="27">
        <f t="shared" si="3"/>
        <v>2.1071087321028973E-5</v>
      </c>
      <c r="J29" s="27">
        <f t="shared" si="3"/>
        <v>7.2376684430372945E-5</v>
      </c>
      <c r="K29" s="27">
        <f t="shared" si="3"/>
        <v>1.7387566445684213E-4</v>
      </c>
      <c r="L29" s="27">
        <f t="shared" si="3"/>
        <v>3.2881031556137116E-4</v>
      </c>
      <c r="M29" s="27">
        <f t="shared" si="4"/>
        <v>5.2554253035990816E-4</v>
      </c>
      <c r="N29" s="27">
        <f t="shared" si="4"/>
        <v>7.4291231218370692E-4</v>
      </c>
      <c r="O29" s="27">
        <f t="shared" si="4"/>
        <v>9.5744024018040491E-4</v>
      </c>
      <c r="P29" s="27">
        <f t="shared" si="4"/>
        <v>1.1488883220460494E-3</v>
      </c>
      <c r="Q29" s="27">
        <f t="shared" si="4"/>
        <v>1.303129701218337E-3</v>
      </c>
      <c r="R29" s="27">
        <f t="shared" si="4"/>
        <v>1.412728033068322E-3</v>
      </c>
      <c r="S29" s="27">
        <f t="shared" si="4"/>
        <v>1.476090905036815E-3</v>
      </c>
      <c r="T29" s="27">
        <f t="shared" si="4"/>
        <v>1.4959892806995715E-3</v>
      </c>
      <c r="U29" s="27">
        <f t="shared" si="4"/>
        <v>1.4779847090972689E-3</v>
      </c>
      <c r="V29" s="27">
        <f t="shared" si="4"/>
        <v>1.4290603577279198E-3</v>
      </c>
      <c r="W29" s="27">
        <f t="shared" si="5"/>
        <v>1.3565731099205642E-3</v>
      </c>
      <c r="X29" s="27">
        <f t="shared" si="5"/>
        <v>1.2675358314837932E-3</v>
      </c>
      <c r="Y29" s="27">
        <f t="shared" si="5"/>
        <v>1.1681847844506748E-3</v>
      </c>
      <c r="Z29" s="27">
        <f t="shared" si="5"/>
        <v>1.0637678295580897E-3</v>
      </c>
      <c r="AA29" s="27">
        <f t="shared" si="5"/>
        <v>9.5848918118656237E-4</v>
      </c>
      <c r="AB29" s="27">
        <f t="shared" si="5"/>
        <v>8.5555571978353532E-4</v>
      </c>
      <c r="AC29" s="27">
        <f t="shared" si="5"/>
        <v>7.5728204338200943E-4</v>
      </c>
      <c r="AD29" s="27">
        <f t="shared" si="5"/>
        <v>6.6522327471553412E-4</v>
      </c>
      <c r="AE29" s="27">
        <f t="shared" si="5"/>
        <v>5.8031467852181985E-4</v>
      </c>
      <c r="AF29" s="27">
        <f t="shared" si="5"/>
        <v>5.030049681583324E-4</v>
      </c>
      <c r="AG29" s="27">
        <f t="shared" si="5"/>
        <v>4.3337590448304809E-4</v>
      </c>
    </row>
    <row r="30" spans="2:33">
      <c r="B30" s="26">
        <f>y_half-(24)*(2*y_half)/(25-1)</f>
        <v>-150</v>
      </c>
      <c r="C30" s="27">
        <f t="shared" si="3"/>
        <v>0</v>
      </c>
      <c r="D30" s="27">
        <f t="shared" si="3"/>
        <v>0</v>
      </c>
      <c r="E30" s="27">
        <f t="shared" si="3"/>
        <v>0</v>
      </c>
      <c r="F30" s="27">
        <f t="shared" si="3"/>
        <v>4.0822079176040855E-12</v>
      </c>
      <c r="G30" s="27">
        <f t="shared" si="3"/>
        <v>2.1446115270761135E-9</v>
      </c>
      <c r="H30" s="27">
        <f t="shared" si="3"/>
        <v>8.5986470191422072E-8</v>
      </c>
      <c r="I30" s="27">
        <f t="shared" si="3"/>
        <v>9.4839430381905521E-7</v>
      </c>
      <c r="J30" s="27">
        <f t="shared" si="3"/>
        <v>4.9912645010057343E-6</v>
      </c>
      <c r="K30" s="27">
        <f t="shared" si="3"/>
        <v>1.651783702611836E-5</v>
      </c>
      <c r="L30" s="27">
        <f t="shared" si="3"/>
        <v>4.0082112309992009E-5</v>
      </c>
      <c r="M30" s="27">
        <f t="shared" si="4"/>
        <v>7.8222241547070198E-5</v>
      </c>
      <c r="N30" s="27">
        <f t="shared" si="4"/>
        <v>1.3022156247125433E-4</v>
      </c>
      <c r="O30" s="27">
        <f t="shared" si="4"/>
        <v>1.9235596003422465E-4</v>
      </c>
      <c r="P30" s="27">
        <f t="shared" si="4"/>
        <v>2.5909569544968583E-4</v>
      </c>
      <c r="Q30" s="27">
        <f t="shared" si="4"/>
        <v>3.2451677015661628E-4</v>
      </c>
      <c r="R30" s="27">
        <f t="shared" si="4"/>
        <v>3.8342108081626942E-4</v>
      </c>
      <c r="S30" s="27">
        <f t="shared" si="4"/>
        <v>4.3198237000630172E-4</v>
      </c>
      <c r="T30" s="27">
        <f t="shared" si="4"/>
        <v>4.6795102853301263E-4</v>
      </c>
      <c r="U30" s="27">
        <f t="shared" si="4"/>
        <v>4.9054535149431857E-4</v>
      </c>
      <c r="V30" s="27">
        <f t="shared" si="4"/>
        <v>5.001688971370355E-4</v>
      </c>
      <c r="W30" s="27">
        <f t="shared" si="5"/>
        <v>4.9806607586390438E-4</v>
      </c>
      <c r="X30" s="27">
        <f t="shared" si="5"/>
        <v>4.8598996746905288E-4</v>
      </c>
      <c r="Y30" s="27">
        <f t="shared" si="5"/>
        <v>4.6592229838388023E-4</v>
      </c>
      <c r="Z30" s="27">
        <f t="shared" si="5"/>
        <v>4.3986061685295888E-4</v>
      </c>
      <c r="AA30" s="27">
        <f t="shared" si="5"/>
        <v>4.0967207232610271E-4</v>
      </c>
      <c r="AB30" s="27">
        <f t="shared" si="5"/>
        <v>3.770049184445916E-4</v>
      </c>
      <c r="AC30" s="27">
        <f t="shared" si="5"/>
        <v>3.4324561332486051E-4</v>
      </c>
      <c r="AD30" s="27">
        <f t="shared" si="5"/>
        <v>3.0950920337910725E-4</v>
      </c>
      <c r="AE30" s="27">
        <f t="shared" si="5"/>
        <v>2.7665209036349003E-4</v>
      </c>
      <c r="AF30" s="27">
        <f t="shared" si="5"/>
        <v>2.4529833795426589E-4</v>
      </c>
      <c r="AG30" s="27">
        <f t="shared" si="5"/>
        <v>2.1587280774898365E-4</v>
      </c>
    </row>
  </sheetData>
  <mergeCells count="2">
    <mergeCell ref="A2:L2"/>
    <mergeCell ref="A1:K1"/>
  </mergeCells>
  <conditionalFormatting sqref="C6:AG30">
    <cfRule type="colorScale" priority="1">
      <colorScale>
        <cfvo type="num" val="0"/>
        <cfvo type="percentile" val="80"/>
        <cfvo type="percentile" val="99"/>
        <color rgb="FFFFFFFF"/>
        <color rgb="FFFFD24D"/>
        <color rgb="FFC0392B"/>
      </colorScale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2E6C97"/>
  </sheetPr>
  <dimension ref="A1:AG30"/>
  <sheetViews>
    <sheetView showGridLines="0" workbookViewId="0">
      <selection sqref="A1:K1"/>
    </sheetView>
  </sheetViews>
  <sheetFormatPr defaultRowHeight="15"/>
  <cols>
    <col min="2" max="2" width="7" customWidth="1"/>
    <col min="3" max="33" width="5.140625" customWidth="1"/>
  </cols>
  <sheetData>
    <row r="1" spans="1:33">
      <c r="A1" s="51" t="s">
        <v>53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33">
      <c r="A2" s="50" t="str">
        <f>IF(mode=1,"t = "&amp;t_sim&amp;" yr   |   colour = concentration; rows = cross-gradient y (ft), columns = downgradient x (ft)","Steady state   |   colour = concentration")</f>
        <v>t = 33 yr   |   colour = concentration; rows = cross-gradient y (ft), columns = downgradient x (ft)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1:33">
      <c r="B4" s="24" t="s">
        <v>51</v>
      </c>
      <c r="C4" s="25">
        <f>Calc_x!B2</f>
        <v>0</v>
      </c>
      <c r="D4" s="25">
        <f>Calc_x!B3</f>
        <v>20</v>
      </c>
      <c r="E4" s="25">
        <f>Calc_x!B4</f>
        <v>40</v>
      </c>
      <c r="F4" s="25">
        <f>Calc_x!B5</f>
        <v>60</v>
      </c>
      <c r="G4" s="25">
        <f>Calc_x!B6</f>
        <v>80</v>
      </c>
      <c r="H4" s="25">
        <f>Calc_x!B7</f>
        <v>100</v>
      </c>
      <c r="I4" s="25">
        <f>Calc_x!B8</f>
        <v>120</v>
      </c>
      <c r="J4" s="25">
        <f>Calc_x!B9</f>
        <v>140</v>
      </c>
      <c r="K4" s="25">
        <f>Calc_x!B10</f>
        <v>160</v>
      </c>
      <c r="L4" s="25">
        <f>Calc_x!B11</f>
        <v>180</v>
      </c>
      <c r="M4" s="25">
        <f>Calc_x!B12</f>
        <v>200</v>
      </c>
      <c r="N4" s="25">
        <f>Calc_x!B13</f>
        <v>220</v>
      </c>
      <c r="O4" s="25">
        <f>Calc_x!B14</f>
        <v>240</v>
      </c>
      <c r="P4" s="25">
        <f>Calc_x!B15</f>
        <v>260</v>
      </c>
      <c r="Q4" s="25">
        <f>Calc_x!B16</f>
        <v>280</v>
      </c>
      <c r="R4" s="25">
        <f>Calc_x!B17</f>
        <v>300</v>
      </c>
      <c r="S4" s="25">
        <f>Calc_x!B18</f>
        <v>320</v>
      </c>
      <c r="T4" s="25">
        <f>Calc_x!B19</f>
        <v>340</v>
      </c>
      <c r="U4" s="25">
        <f>Calc_x!B20</f>
        <v>360</v>
      </c>
      <c r="V4" s="25">
        <f>Calc_x!B21</f>
        <v>380</v>
      </c>
      <c r="W4" s="25">
        <f>Calc_x!B22</f>
        <v>400</v>
      </c>
      <c r="X4" s="25">
        <f>Calc_x!B23</f>
        <v>420</v>
      </c>
      <c r="Y4" s="25">
        <f>Calc_x!B24</f>
        <v>440</v>
      </c>
      <c r="Z4" s="25">
        <f>Calc_x!B25</f>
        <v>460</v>
      </c>
      <c r="AA4" s="25">
        <f>Calc_x!B26</f>
        <v>480</v>
      </c>
      <c r="AB4" s="25">
        <f>Calc_x!B27</f>
        <v>500</v>
      </c>
      <c r="AC4" s="25">
        <f>Calc_x!B28</f>
        <v>520</v>
      </c>
      <c r="AD4" s="25">
        <f>Calc_x!B29</f>
        <v>540</v>
      </c>
      <c r="AE4" s="25">
        <f>Calc_x!B30</f>
        <v>560</v>
      </c>
      <c r="AF4" s="25">
        <f>Calc_x!B31</f>
        <v>580</v>
      </c>
      <c r="AG4" s="25">
        <f>Calc_x!B32</f>
        <v>600</v>
      </c>
    </row>
    <row r="5" spans="1:33" hidden="1">
      <c r="C5">
        <f>Calc_x!R2</f>
        <v>0</v>
      </c>
      <c r="D5">
        <f>Calc_x!R3</f>
        <v>44.283627633336863</v>
      </c>
      <c r="E5">
        <f>Calc_x!R4</f>
        <v>39.715573889412703</v>
      </c>
      <c r="F5">
        <f>Calc_x!R5</f>
        <v>35.538754611046343</v>
      </c>
      <c r="G5">
        <f>Calc_x!R6</f>
        <v>31.738634519401746</v>
      </c>
      <c r="H5">
        <f>Calc_x!R7</f>
        <v>28.295802062360472</v>
      </c>
      <c r="I5">
        <f>Calc_x!R8</f>
        <v>25.187896699298932</v>
      </c>
      <c r="J5">
        <f>Calc_x!R9</f>
        <v>22.391034179678691</v>
      </c>
      <c r="K5">
        <f>Calc_x!R10</f>
        <v>19.880844354299665</v>
      </c>
      <c r="L5">
        <f>Calc_x!R11</f>
        <v>17.633211450467858</v>
      </c>
      <c r="M5">
        <f>Calc_x!R12</f>
        <v>15.624787247150483</v>
      </c>
      <c r="N5">
        <f>Calc_x!R13</f>
        <v>13.833332165202334</v>
      </c>
      <c r="O5">
        <f>Calc_x!R14</f>
        <v>12.237927111683385</v>
      </c>
      <c r="P5">
        <f>Calc_x!R15</f>
        <v>10.819089324343386</v>
      </c>
      <c r="Q5">
        <f>Calc_x!R16</f>
        <v>9.558817924535882</v>
      </c>
      <c r="R5">
        <f>Calc_x!R17</f>
        <v>8.4405889826401026</v>
      </c>
      <c r="S5">
        <f>Calc_x!R18</f>
        <v>7.4493152922568644</v>
      </c>
      <c r="T5">
        <f>Calc_x!R19</f>
        <v>6.5712824669396168</v>
      </c>
      <c r="U5">
        <f>Calc_x!R20</f>
        <v>5.7940701966785841</v>
      </c>
      <c r="V5">
        <f>Calc_x!R21</f>
        <v>5.1064653518341112</v>
      </c>
      <c r="W5">
        <f>Calc_x!R22</f>
        <v>4.4983719527803965</v>
      </c>
      <c r="X5">
        <f>Calc_x!R23</f>
        <v>3.9607217135178896</v>
      </c>
      <c r="Y5">
        <f>Calc_x!R24</f>
        <v>3.4853878192185994</v>
      </c>
      <c r="Z5">
        <f>Calc_x!R25</f>
        <v>3.0651037348431789</v>
      </c>
      <c r="AA5">
        <f>Calc_x!R26</f>
        <v>2.6933881095916563</v>
      </c>
      <c r="AB5">
        <f>Calc_x!R27</f>
        <v>2.3644762062355071</v>
      </c>
      <c r="AC5">
        <f>Calc_x!R28</f>
        <v>2.0732577320433032</v>
      </c>
      <c r="AD5">
        <f>Calc_x!R29</f>
        <v>1.8152204838827</v>
      </c>
      <c r="AE5">
        <f>Calc_x!R30</f>
        <v>1.5863988624630345</v>
      </c>
      <c r="AF5">
        <f>Calc_x!R31</f>
        <v>1.3833260844602231</v>
      </c>
      <c r="AG5">
        <f>Calc_x!R32</f>
        <v>1.2029888494040588</v>
      </c>
    </row>
    <row r="6" spans="1:33">
      <c r="B6" s="26">
        <f>y_half-(0)*(2*y_half)/(25-1)</f>
        <v>150</v>
      </c>
      <c r="C6" s="27">
        <f t="shared" ref="C6:L15" si="0">IF(C$4&lt;=0,IF(ABS($B6)&lt;=Y_src/2,C0_3,0),C$5*(IF(C$4&lt;=0,0,ERF(($B6+Y_src/2)/(2*SQRT(a_T*C$4)))-ERF(($B6-Y_src/2)/(2*SQRT(a_T*C$4))))))</f>
        <v>0</v>
      </c>
      <c r="D6" s="27">
        <f t="shared" si="0"/>
        <v>0</v>
      </c>
      <c r="E6" s="27">
        <f t="shared" si="0"/>
        <v>0</v>
      </c>
      <c r="F6" s="27">
        <f t="shared" si="0"/>
        <v>3.6106134021017266E-11</v>
      </c>
      <c r="G6" s="27">
        <f t="shared" si="0"/>
        <v>2.1225185401461568E-8</v>
      </c>
      <c r="H6" s="27">
        <f t="shared" si="0"/>
        <v>9.5065930700008983E-7</v>
      </c>
      <c r="I6" s="27">
        <f t="shared" si="0"/>
        <v>1.1695997489091574E-5</v>
      </c>
      <c r="J6" s="27">
        <f t="shared" si="0"/>
        <v>6.8572299711001209E-5</v>
      </c>
      <c r="K6" s="27">
        <f t="shared" si="0"/>
        <v>2.5251195003382182E-4</v>
      </c>
      <c r="L6" s="27">
        <f t="shared" si="0"/>
        <v>6.811251505547839E-4</v>
      </c>
      <c r="M6" s="27">
        <f t="shared" ref="M6:V15" si="1">IF(M$4&lt;=0,IF(ABS($B6)&lt;=Y_src/2,C0_3,0),M$5*(IF(M$4&lt;=0,0,ERF(($B6+Y_src/2)/(2*SQRT(a_T*M$4)))-ERF(($B6-Y_src/2)/(2*SQRT(a_T*M$4))))))</f>
        <v>1.4762501161651646E-3</v>
      </c>
      <c r="N6" s="27">
        <f t="shared" si="1"/>
        <v>2.7271840656634236E-3</v>
      </c>
      <c r="O6" s="27">
        <f t="shared" si="1"/>
        <v>4.4670909176562244E-3</v>
      </c>
      <c r="P6" s="27">
        <f t="shared" si="1"/>
        <v>6.6678384259950393E-3</v>
      </c>
      <c r="Q6" s="27">
        <f t="shared" si="1"/>
        <v>9.2494051054075755E-3</v>
      </c>
      <c r="R6" s="27">
        <f t="shared" si="1"/>
        <v>1.2096901577456527E-2</v>
      </c>
      <c r="S6" s="27">
        <f t="shared" si="1"/>
        <v>1.5079077003644003E-2</v>
      </c>
      <c r="T6" s="27">
        <f t="shared" si="1"/>
        <v>1.8064401634281819E-2</v>
      </c>
      <c r="U6" s="27">
        <f t="shared" si="1"/>
        <v>2.093294530564398E-2</v>
      </c>
      <c r="V6" s="27">
        <f t="shared" si="1"/>
        <v>2.3583769322211401E-2</v>
      </c>
      <c r="W6" s="27">
        <f t="shared" ref="W6:AG15" si="2">IF(W$4&lt;=0,IF(ABS($B6)&lt;=Y_src/2,C0_3,0),W$5*(IF(W$4&lt;=0,0,ERF(($B6+Y_src/2)/(2*SQRT(a_T*W$4)))-ERF(($B6-Y_src/2)/(2*SQRT(a_T*W$4))))))</f>
        <v>2.5938390958756767E-2</v>
      </c>
      <c r="X6" s="27">
        <f t="shared" si="2"/>
        <v>2.7941230728200542E-2</v>
      </c>
      <c r="Y6" s="27">
        <f t="shared" si="2"/>
        <v>2.9557999547131401E-2</v>
      </c>
      <c r="Z6" s="27">
        <f t="shared" si="2"/>
        <v>3.0772872580892938E-2</v>
      </c>
      <c r="AA6" s="27">
        <f t="shared" si="2"/>
        <v>3.1585124571092242E-2</v>
      </c>
      <c r="AB6" s="27">
        <f t="shared" si="2"/>
        <v>3.2005721790846084E-2</v>
      </c>
      <c r="AC6" s="27">
        <f t="shared" si="2"/>
        <v>3.2054203946304052E-2</v>
      </c>
      <c r="AD6" s="27">
        <f t="shared" si="2"/>
        <v>3.1756054001020918E-2</v>
      </c>
      <c r="AE6" s="27">
        <f t="shared" si="2"/>
        <v>3.1140645212462497E-2</v>
      </c>
      <c r="AF6" s="27">
        <f t="shared" si="2"/>
        <v>3.0239769679740954E-2</v>
      </c>
      <c r="AG6" s="27">
        <f t="shared" si="2"/>
        <v>2.9086688319523102E-2</v>
      </c>
    </row>
    <row r="7" spans="1:33">
      <c r="B7" s="26">
        <f>y_half-(1)*(2*y_half)/(25-1)</f>
        <v>137.5</v>
      </c>
      <c r="C7" s="27">
        <f t="shared" si="0"/>
        <v>0</v>
      </c>
      <c r="D7" s="27">
        <f t="shared" si="0"/>
        <v>0</v>
      </c>
      <c r="E7" s="27">
        <f t="shared" si="0"/>
        <v>8.6863494799408493E-13</v>
      </c>
      <c r="F7" s="27">
        <f t="shared" si="0"/>
        <v>1.5823052586568869E-8</v>
      </c>
      <c r="G7" s="27">
        <f t="shared" si="0"/>
        <v>2.0957679840300492E-6</v>
      </c>
      <c r="H7" s="27">
        <f t="shared" si="0"/>
        <v>3.8366400346565691E-5</v>
      </c>
      <c r="I7" s="27">
        <f t="shared" si="0"/>
        <v>2.598575122254256E-4</v>
      </c>
      <c r="J7" s="27">
        <f t="shared" si="0"/>
        <v>9.943443581978159E-4</v>
      </c>
      <c r="K7" s="27">
        <f t="shared" si="0"/>
        <v>2.6580770246127914E-3</v>
      </c>
      <c r="L7" s="27">
        <f t="shared" si="0"/>
        <v>5.5875542176671671E-3</v>
      </c>
      <c r="M7" s="27">
        <f t="shared" si="1"/>
        <v>9.9183071994516092E-3</v>
      </c>
      <c r="N7" s="27">
        <f t="shared" si="1"/>
        <v>1.5558549456199446E-2</v>
      </c>
      <c r="O7" s="27">
        <f t="shared" si="1"/>
        <v>2.2234676795808699E-2</v>
      </c>
      <c r="P7" s="27">
        <f t="shared" si="1"/>
        <v>2.9566688430002246E-2</v>
      </c>
      <c r="Q7" s="27">
        <f t="shared" si="1"/>
        <v>3.7141915672463111E-2</v>
      </c>
      <c r="R7" s="27">
        <f t="shared" si="1"/>
        <v>4.4571445929261197E-2</v>
      </c>
      <c r="S7" s="27">
        <f t="shared" si="1"/>
        <v>5.1525455590014015E-2</v>
      </c>
      <c r="T7" s="27">
        <f t="shared" si="1"/>
        <v>5.7749955784595401E-2</v>
      </c>
      <c r="U7" s="27">
        <f t="shared" si="1"/>
        <v>6.3069750806658262E-2</v>
      </c>
      <c r="V7" s="27">
        <f t="shared" si="1"/>
        <v>6.738249822627089E-2</v>
      </c>
      <c r="W7" s="27">
        <f t="shared" si="2"/>
        <v>7.0647902747086488E-2</v>
      </c>
      <c r="X7" s="27">
        <f t="shared" si="2"/>
        <v>7.2874984041734273E-2</v>
      </c>
      <c r="Y7" s="27">
        <f t="shared" si="2"/>
        <v>7.4109364264231287E-2</v>
      </c>
      <c r="Z7" s="27">
        <f t="shared" si="2"/>
        <v>7.442173866087945E-2</v>
      </c>
      <c r="AA7" s="27">
        <f t="shared" si="2"/>
        <v>7.3898130316589886E-2</v>
      </c>
      <c r="AB7" s="27">
        <f t="shared" si="2"/>
        <v>7.2632151476780621E-2</v>
      </c>
      <c r="AC7" s="27">
        <f t="shared" si="2"/>
        <v>7.0719252107285954E-2</v>
      </c>
      <c r="AD7" s="27">
        <f t="shared" si="2"/>
        <v>6.8252788621368868E-2</v>
      </c>
      <c r="AE7" s="27">
        <f t="shared" si="2"/>
        <v>6.5321659025559684E-2</v>
      </c>
      <c r="AF7" s="27">
        <f t="shared" si="2"/>
        <v>6.2009202800670175E-2</v>
      </c>
      <c r="AG7" s="27">
        <f t="shared" si="2"/>
        <v>5.8393041672703136E-2</v>
      </c>
    </row>
    <row r="8" spans="1:33">
      <c r="B8" s="26">
        <f>y_half-(2)*(2*y_half)/(25-1)</f>
        <v>125</v>
      </c>
      <c r="C8" s="27">
        <f t="shared" si="0"/>
        <v>0</v>
      </c>
      <c r="D8" s="27">
        <f t="shared" si="0"/>
        <v>0</v>
      </c>
      <c r="E8" s="27">
        <f t="shared" si="0"/>
        <v>2.319272948402034E-9</v>
      </c>
      <c r="F8" s="27">
        <f t="shared" si="0"/>
        <v>3.1913268587932663E-6</v>
      </c>
      <c r="G8" s="27">
        <f t="shared" si="0"/>
        <v>1.1606712816720044E-4</v>
      </c>
      <c r="H8" s="27">
        <f t="shared" si="0"/>
        <v>9.7767743866446926E-4</v>
      </c>
      <c r="I8" s="27">
        <f t="shared" si="0"/>
        <v>3.9443917866398585E-3</v>
      </c>
      <c r="J8" s="27">
        <f t="shared" si="0"/>
        <v>1.0420043197481809E-2</v>
      </c>
      <c r="K8" s="27">
        <f t="shared" si="0"/>
        <v>2.1089031364589492E-2</v>
      </c>
      <c r="L8" s="27">
        <f t="shared" si="0"/>
        <v>3.5693567880724919E-2</v>
      </c>
      <c r="M8" s="27">
        <f t="shared" si="1"/>
        <v>5.3259747867171511E-2</v>
      </c>
      <c r="N8" s="27">
        <f t="shared" si="1"/>
        <v>7.2467109364136723E-2</v>
      </c>
      <c r="O8" s="27">
        <f t="shared" si="1"/>
        <v>9.1966789346089595E-2</v>
      </c>
      <c r="P8" s="27">
        <f t="shared" si="1"/>
        <v>0.11058487990917508</v>
      </c>
      <c r="Q8" s="27">
        <f t="shared" si="1"/>
        <v>0.12741868927405833</v>
      </c>
      <c r="R8" s="27">
        <f t="shared" si="1"/>
        <v>0.14185697451395998</v>
      </c>
      <c r="S8" s="27">
        <f t="shared" si="1"/>
        <v>0.15355530859480285</v>
      </c>
      <c r="T8" s="27">
        <f t="shared" si="1"/>
        <v>0.16239010112969043</v>
      </c>
      <c r="U8" s="27">
        <f t="shared" si="1"/>
        <v>0.16840650074834557</v>
      </c>
      <c r="V8" s="27">
        <f t="shared" si="1"/>
        <v>0.17176886157236995</v>
      </c>
      <c r="W8" s="27">
        <f t="shared" si="2"/>
        <v>0.17271799327330614</v>
      </c>
      <c r="X8" s="27">
        <f t="shared" si="2"/>
        <v>0.17153666278304597</v>
      </c>
      <c r="Y8" s="27">
        <f t="shared" si="2"/>
        <v>0.16852327468990039</v>
      </c>
      <c r="Z8" s="27">
        <f t="shared" si="2"/>
        <v>0.16397289647375318</v>
      </c>
      <c r="AA8" s="27">
        <f t="shared" si="2"/>
        <v>0.15816449897705367</v>
      </c>
      <c r="AB8" s="27">
        <f t="shared" si="2"/>
        <v>0.15135324054089913</v>
      </c>
      <c r="AC8" s="27">
        <f t="shared" si="2"/>
        <v>0.14376670242653999</v>
      </c>
      <c r="AD8" s="27">
        <f t="shared" si="2"/>
        <v>0.1356041060777663</v>
      </c>
      <c r="AE8" s="27">
        <f t="shared" si="2"/>
        <v>0.12703766909985723</v>
      </c>
      <c r="AF8" s="27">
        <f t="shared" si="2"/>
        <v>0.11821537015651415</v>
      </c>
      <c r="AG8" s="27">
        <f t="shared" si="2"/>
        <v>0.10926449160374634</v>
      </c>
    </row>
    <row r="9" spans="1:33">
      <c r="B9" s="26">
        <f>y_half-(3)*(2*y_half)/(25-1)</f>
        <v>112.5</v>
      </c>
      <c r="C9" s="27">
        <f t="shared" si="0"/>
        <v>0</v>
      </c>
      <c r="D9" s="27">
        <f t="shared" si="0"/>
        <v>5.3097879253454012E-13</v>
      </c>
      <c r="E9" s="27">
        <f t="shared" si="0"/>
        <v>1.9287776048694452E-6</v>
      </c>
      <c r="F9" s="27">
        <f t="shared" si="0"/>
        <v>2.9786437313835052E-4</v>
      </c>
      <c r="G9" s="27">
        <f t="shared" si="0"/>
        <v>3.6235902131345711E-3</v>
      </c>
      <c r="H9" s="27">
        <f t="shared" si="0"/>
        <v>1.5804456647373448E-2</v>
      </c>
      <c r="I9" s="27">
        <f t="shared" si="0"/>
        <v>4.1081615996823619E-2</v>
      </c>
      <c r="J9" s="27">
        <f t="shared" si="0"/>
        <v>7.9231225227547719E-2</v>
      </c>
      <c r="K9" s="27">
        <f t="shared" si="0"/>
        <v>0.12658654023788016</v>
      </c>
      <c r="L9" s="27">
        <f t="shared" si="0"/>
        <v>0.17818509773356334</v>
      </c>
      <c r="M9" s="27">
        <f t="shared" si="1"/>
        <v>0.22934877691549488</v>
      </c>
      <c r="N9" s="27">
        <f t="shared" si="1"/>
        <v>0.27644116496735099</v>
      </c>
      <c r="O9" s="27">
        <f t="shared" si="1"/>
        <v>0.31704923629317971</v>
      </c>
      <c r="P9" s="27">
        <f t="shared" si="1"/>
        <v>0.34986511549294219</v>
      </c>
      <c r="Q9" s="27">
        <f t="shared" si="1"/>
        <v>0.37445303921278894</v>
      </c>
      <c r="R9" s="27">
        <f t="shared" si="1"/>
        <v>0.3910016820254012</v>
      </c>
      <c r="S9" s="27">
        <f t="shared" si="1"/>
        <v>0.40010684019405246</v>
      </c>
      <c r="T9" s="27">
        <f t="shared" si="1"/>
        <v>0.40259903975559996</v>
      </c>
      <c r="U9" s="27">
        <f t="shared" si="1"/>
        <v>0.39941586158428066</v>
      </c>
      <c r="V9" s="27">
        <f t="shared" si="1"/>
        <v>0.39151272431514844</v>
      </c>
      <c r="W9" s="27">
        <f t="shared" si="2"/>
        <v>0.37980424400230955</v>
      </c>
      <c r="X9" s="27">
        <f t="shared" si="2"/>
        <v>0.36512869259997438</v>
      </c>
      <c r="Y9" s="27">
        <f t="shared" si="2"/>
        <v>0.34822924838525937</v>
      </c>
      <c r="Z9" s="27">
        <f t="shared" si="2"/>
        <v>0.32974705608687133</v>
      </c>
      <c r="AA9" s="27">
        <f t="shared" si="2"/>
        <v>0.31022232066684929</v>
      </c>
      <c r="AB9" s="27">
        <f t="shared" si="2"/>
        <v>0.29010064838532779</v>
      </c>
      <c r="AC9" s="27">
        <f t="shared" si="2"/>
        <v>0.26974260827175439</v>
      </c>
      <c r="AD9" s="27">
        <f t="shared" si="2"/>
        <v>0.2494350409865847</v>
      </c>
      <c r="AE9" s="27">
        <f t="shared" si="2"/>
        <v>0.22940303011650329</v>
      </c>
      <c r="AF9" s="27">
        <f t="shared" si="2"/>
        <v>0.20982171698821925</v>
      </c>
      <c r="AG9" s="27">
        <f t="shared" si="2"/>
        <v>0.19082732598311455</v>
      </c>
    </row>
    <row r="10" spans="1:33">
      <c r="B10" s="26">
        <f>y_half-(4)*(2*y_half)/(25-1)</f>
        <v>100</v>
      </c>
      <c r="C10" s="27">
        <f t="shared" si="0"/>
        <v>0</v>
      </c>
      <c r="D10" s="27">
        <f t="shared" si="0"/>
        <v>2.9614639098360895E-8</v>
      </c>
      <c r="E10" s="27">
        <f t="shared" si="0"/>
        <v>5.044381833490399E-4</v>
      </c>
      <c r="F10" s="27">
        <f t="shared" si="0"/>
        <v>1.2972364268955441E-2</v>
      </c>
      <c r="G10" s="27">
        <f t="shared" si="0"/>
        <v>6.4246102258436702E-2</v>
      </c>
      <c r="H10" s="27">
        <f t="shared" si="0"/>
        <v>0.1631594409063046</v>
      </c>
      <c r="I10" s="27">
        <f t="shared" si="0"/>
        <v>0.29538793683529985</v>
      </c>
      <c r="J10" s="27">
        <f t="shared" si="0"/>
        <v>0.43959942909565725</v>
      </c>
      <c r="K10" s="27">
        <f t="shared" si="0"/>
        <v>0.57785010660828251</v>
      </c>
      <c r="L10" s="27">
        <f t="shared" si="0"/>
        <v>0.69849060128994755</v>
      </c>
      <c r="M10" s="27">
        <f t="shared" si="1"/>
        <v>0.79557947600515044</v>
      </c>
      <c r="N10" s="27">
        <f t="shared" si="1"/>
        <v>0.86732993246991041</v>
      </c>
      <c r="O10" s="27">
        <f t="shared" si="1"/>
        <v>0.91461273418223632</v>
      </c>
      <c r="P10" s="27">
        <f t="shared" si="1"/>
        <v>0.93980462159666689</v>
      </c>
      <c r="Q10" s="27">
        <f t="shared" si="1"/>
        <v>0.94599234113123465</v>
      </c>
      <c r="R10" s="27">
        <f t="shared" si="1"/>
        <v>0.93646087694978808</v>
      </c>
      <c r="S10" s="27">
        <f t="shared" si="1"/>
        <v>0.91438616100276227</v>
      </c>
      <c r="T10" s="27">
        <f t="shared" si="1"/>
        <v>0.88266636514651209</v>
      </c>
      <c r="U10" s="27">
        <f t="shared" si="1"/>
        <v>0.84384309775834931</v>
      </c>
      <c r="V10" s="27">
        <f t="shared" si="1"/>
        <v>0.80007857439183705</v>
      </c>
      <c r="W10" s="27">
        <f t="shared" si="2"/>
        <v>0.75316597497697102</v>
      </c>
      <c r="X10" s="27">
        <f t="shared" si="2"/>
        <v>0.70455812838153986</v>
      </c>
      <c r="Y10" s="27">
        <f t="shared" si="2"/>
        <v>0.65540510947911657</v>
      </c>
      <c r="Z10" s="27">
        <f t="shared" si="2"/>
        <v>0.60659497594753964</v>
      </c>
      <c r="AA10" s="27">
        <f t="shared" si="2"/>
        <v>0.55879424801435629</v>
      </c>
      <c r="AB10" s="27">
        <f t="shared" si="2"/>
        <v>0.51248623777056945</v>
      </c>
      <c r="AC10" s="27">
        <f t="shared" si="2"/>
        <v>0.46800624611050612</v>
      </c>
      <c r="AD10" s="27">
        <f t="shared" si="2"/>
        <v>0.42557316379673804</v>
      </c>
      <c r="AE10" s="27">
        <f t="shared" si="2"/>
        <v>0.38531728095625462</v>
      </c>
      <c r="AF10" s="27">
        <f t="shared" si="2"/>
        <v>0.34730422984130693</v>
      </c>
      <c r="AG10" s="27">
        <f t="shared" si="2"/>
        <v>0.31155503438469989</v>
      </c>
    </row>
    <row r="11" spans="1:33">
      <c r="B11" s="26">
        <f>y_half-(5)*(2*y_half)/(25-1)</f>
        <v>87.5</v>
      </c>
      <c r="C11" s="27">
        <f t="shared" si="0"/>
        <v>0</v>
      </c>
      <c r="D11" s="27">
        <f t="shared" si="0"/>
        <v>1.6194374969361386E-4</v>
      </c>
      <c r="E11" s="27">
        <f t="shared" si="0"/>
        <v>4.2129145448121977E-2</v>
      </c>
      <c r="F11" s="27">
        <f t="shared" si="0"/>
        <v>0.2670701764073713</v>
      </c>
      <c r="G11" s="27">
        <f t="shared" si="0"/>
        <v>0.65424152943382208</v>
      </c>
      <c r="H11" s="27">
        <f t="shared" si="0"/>
        <v>1.0864745707797676</v>
      </c>
      <c r="I11" s="27">
        <f t="shared" si="0"/>
        <v>1.4793749717651927</v>
      </c>
      <c r="J11" s="27">
        <f t="shared" si="0"/>
        <v>1.7940521013171207</v>
      </c>
      <c r="K11" s="27">
        <f t="shared" si="0"/>
        <v>2.0207238126228897</v>
      </c>
      <c r="L11" s="27">
        <f t="shared" si="0"/>
        <v>2.1644999912563079</v>
      </c>
      <c r="M11" s="27">
        <f t="shared" si="1"/>
        <v>2.2368229909052135</v>
      </c>
      <c r="N11" s="27">
        <f t="shared" si="1"/>
        <v>2.250911710673968</v>
      </c>
      <c r="O11" s="27">
        <f t="shared" si="1"/>
        <v>2.2195326476413664</v>
      </c>
      <c r="P11" s="27">
        <f t="shared" si="1"/>
        <v>2.1540302944146843</v>
      </c>
      <c r="Q11" s="27">
        <f t="shared" si="1"/>
        <v>2.0640107072736207</v>
      </c>
      <c r="R11" s="27">
        <f t="shared" si="1"/>
        <v>1.9573480944692945</v>
      </c>
      <c r="S11" s="27">
        <f t="shared" si="1"/>
        <v>1.8403383328186909</v>
      </c>
      <c r="T11" s="27">
        <f t="shared" si="1"/>
        <v>1.7179073362092514</v>
      </c>
      <c r="U11" s="27">
        <f t="shared" si="1"/>
        <v>1.5938276530745719</v>
      </c>
      <c r="V11" s="27">
        <f t="shared" si="1"/>
        <v>1.4709211322424469</v>
      </c>
      <c r="W11" s="27">
        <f t="shared" si="2"/>
        <v>1.3512385300438643</v>
      </c>
      <c r="X11" s="27">
        <f t="shared" si="2"/>
        <v>1.236213720367294</v>
      </c>
      <c r="Y11" s="27">
        <f t="shared" si="2"/>
        <v>1.1267935371404012</v>
      </c>
      <c r="Z11" s="27">
        <f t="shared" si="2"/>
        <v>1.0235457746325467</v>
      </c>
      <c r="AA11" s="27">
        <f t="shared" si="2"/>
        <v>0.92674835112208909</v>
      </c>
      <c r="AB11" s="27">
        <f t="shared" si="2"/>
        <v>0.83646258286769271</v>
      </c>
      <c r="AC11" s="27">
        <f t="shared" si="2"/>
        <v>0.75259318723607238</v>
      </c>
      <c r="AD11" s="27">
        <f t="shared" si="2"/>
        <v>0.67493719220167792</v>
      </c>
      <c r="AE11" s="27">
        <f t="shared" si="2"/>
        <v>0.60322346855957387</v>
      </c>
      <c r="AF11" s="27">
        <f t="shared" si="2"/>
        <v>0.53714418117398066</v>
      </c>
      <c r="AG11" s="27">
        <f t="shared" si="2"/>
        <v>0.47637911556163198</v>
      </c>
    </row>
    <row r="12" spans="1:33">
      <c r="B12" s="26">
        <f>y_half-(6)*(2*y_half)/(25-1)</f>
        <v>75</v>
      </c>
      <c r="C12" s="27">
        <f t="shared" si="0"/>
        <v>0</v>
      </c>
      <c r="D12" s="27">
        <f t="shared" si="0"/>
        <v>8.9639977030729581E-2</v>
      </c>
      <c r="E12" s="27">
        <f t="shared" si="0"/>
        <v>1.1543598573142089</v>
      </c>
      <c r="F12" s="27">
        <f t="shared" si="0"/>
        <v>2.6560246913412962</v>
      </c>
      <c r="G12" s="27">
        <f t="shared" si="0"/>
        <v>3.8959597836411097</v>
      </c>
      <c r="H12" s="27">
        <f t="shared" si="0"/>
        <v>4.7385662030446785</v>
      </c>
      <c r="I12" s="27">
        <f t="shared" si="0"/>
        <v>5.2296494154746194</v>
      </c>
      <c r="J12" s="27">
        <f t="shared" si="0"/>
        <v>5.4489339119024685</v>
      </c>
      <c r="K12" s="27">
        <f t="shared" si="0"/>
        <v>5.4700556855462139</v>
      </c>
      <c r="L12" s="27">
        <f t="shared" si="0"/>
        <v>5.3522695260926607</v>
      </c>
      <c r="M12" s="27">
        <f t="shared" si="1"/>
        <v>5.1408797514374287</v>
      </c>
      <c r="N12" s="27">
        <f t="shared" si="1"/>
        <v>4.8696846533440228</v>
      </c>
      <c r="O12" s="27">
        <f t="shared" si="1"/>
        <v>4.5635112472834543</v>
      </c>
      <c r="P12" s="27">
        <f t="shared" si="1"/>
        <v>4.2403541168132151</v>
      </c>
      <c r="Q12" s="27">
        <f t="shared" si="1"/>
        <v>3.9130616869842645</v>
      </c>
      <c r="R12" s="27">
        <f t="shared" si="1"/>
        <v>3.5906300606092953</v>
      </c>
      <c r="S12" s="27">
        <f t="shared" si="1"/>
        <v>3.279184403973312</v>
      </c>
      <c r="T12" s="27">
        <f t="shared" si="1"/>
        <v>2.9827197963238108</v>
      </c>
      <c r="U12" s="27">
        <f t="shared" si="1"/>
        <v>2.7036595218336079</v>
      </c>
      <c r="V12" s="27">
        <f t="shared" si="1"/>
        <v>2.4432756368662978</v>
      </c>
      <c r="W12" s="27">
        <f t="shared" si="2"/>
        <v>2.2020058889897647</v>
      </c>
      <c r="X12" s="27">
        <f t="shared" si="2"/>
        <v>1.9796927126851573</v>
      </c>
      <c r="Y12" s="27">
        <f t="shared" si="2"/>
        <v>1.7757636736192479</v>
      </c>
      <c r="Z12" s="27">
        <f t="shared" si="2"/>
        <v>1.5893679274859858</v>
      </c>
      <c r="AA12" s="27">
        <f t="shared" si="2"/>
        <v>1.419479614780377</v>
      </c>
      <c r="AB12" s="27">
        <f t="shared" si="2"/>
        <v>1.2649763297872147</v>
      </c>
      <c r="AC12" s="27">
        <f t="shared" si="2"/>
        <v>1.1246986607154905</v>
      </c>
      <c r="AD12" s="27">
        <f t="shared" si="2"/>
        <v>0.997495144415674</v>
      </c>
      <c r="AE12" s="27">
        <f t="shared" si="2"/>
        <v>0.88225571057708696</v>
      </c>
      <c r="AF12" s="27">
        <f t="shared" si="2"/>
        <v>0.77793574028178503</v>
      </c>
      <c r="AG12" s="27">
        <f t="shared" si="2"/>
        <v>0.68357218879161952</v>
      </c>
    </row>
    <row r="13" spans="1:33">
      <c r="B13" s="26">
        <f>y_half-(7)*(2*y_half)/(25-1)</f>
        <v>62.5</v>
      </c>
      <c r="C13" s="27">
        <f t="shared" si="0"/>
        <v>0</v>
      </c>
      <c r="D13" s="27">
        <f t="shared" si="0"/>
        <v>5.4358744459459958</v>
      </c>
      <c r="E13" s="27">
        <f t="shared" si="0"/>
        <v>10.927425175342504</v>
      </c>
      <c r="F13" s="27">
        <f t="shared" si="0"/>
        <v>13.252665271196776</v>
      </c>
      <c r="G13" s="27">
        <f t="shared" si="0"/>
        <v>13.9749526634661</v>
      </c>
      <c r="H13" s="27">
        <f t="shared" si="0"/>
        <v>13.866931789461699</v>
      </c>
      <c r="I13" s="27">
        <f t="shared" si="0"/>
        <v>13.31570208783433</v>
      </c>
      <c r="J13" s="27">
        <f t="shared" si="0"/>
        <v>12.531718952436062</v>
      </c>
      <c r="K13" s="27">
        <f t="shared" si="0"/>
        <v>11.636388543226996</v>
      </c>
      <c r="L13" s="27">
        <f t="shared" si="0"/>
        <v>10.702283654794053</v>
      </c>
      <c r="M13" s="27">
        <f t="shared" si="1"/>
        <v>9.7734320508251571</v>
      </c>
      <c r="N13" s="27">
        <f t="shared" si="1"/>
        <v>8.8763854657680064</v>
      </c>
      <c r="O13" s="27">
        <f t="shared" si="1"/>
        <v>8.0266485009272746</v>
      </c>
      <c r="P13" s="27">
        <f t="shared" si="1"/>
        <v>7.2325995454414489</v>
      </c>
      <c r="Q13" s="27">
        <f t="shared" si="1"/>
        <v>6.4979730314080708</v>
      </c>
      <c r="R13" s="27">
        <f t="shared" si="1"/>
        <v>5.8234752336617195</v>
      </c>
      <c r="S13" s="27">
        <f t="shared" si="1"/>
        <v>5.2078574976189191</v>
      </c>
      <c r="T13" s="27">
        <f t="shared" si="1"/>
        <v>4.6486391513815235</v>
      </c>
      <c r="U13" s="27">
        <f t="shared" si="1"/>
        <v>4.1425988105738218</v>
      </c>
      <c r="V13" s="27">
        <f t="shared" si="1"/>
        <v>3.6861097706685957</v>
      </c>
      <c r="W13" s="27">
        <f t="shared" si="2"/>
        <v>3.2753690383595089</v>
      </c>
      <c r="X13" s="27">
        <f t="shared" si="2"/>
        <v>2.9065531417505244</v>
      </c>
      <c r="Y13" s="27">
        <f t="shared" si="2"/>
        <v>2.5759232634050502</v>
      </c>
      <c r="Z13" s="27">
        <f t="shared" si="2"/>
        <v>2.2798952200346516</v>
      </c>
      <c r="AA13" s="27">
        <f t="shared" si="2"/>
        <v>2.0150850413061567</v>
      </c>
      <c r="AB13" s="27">
        <f t="shared" si="2"/>
        <v>1.778337574352576</v>
      </c>
      <c r="AC13" s="27">
        <f t="shared" si="2"/>
        <v>1.5667431685906064</v>
      </c>
      <c r="AD13" s="27">
        <f t="shared" si="2"/>
        <v>1.3776457782530316</v>
      </c>
      <c r="AE13" s="27">
        <f t="shared" si="2"/>
        <v>1.2086445788246649</v>
      </c>
      <c r="AF13" s="27">
        <f t="shared" si="2"/>
        <v>1.057590323379874</v>
      </c>
      <c r="AG13" s="27">
        <f t="shared" si="2"/>
        <v>0.92257710263051074</v>
      </c>
    </row>
    <row r="14" spans="1:33">
      <c r="B14" s="26">
        <f>y_half-(8)*(2*y_half)/(25-1)</f>
        <v>50</v>
      </c>
      <c r="C14" s="27">
        <f t="shared" si="0"/>
        <v>98.5</v>
      </c>
      <c r="D14" s="27">
        <f t="shared" si="0"/>
        <v>44.283627633336863</v>
      </c>
      <c r="E14" s="27">
        <f t="shared" si="0"/>
        <v>39.715573889412703</v>
      </c>
      <c r="F14" s="27">
        <f t="shared" si="0"/>
        <v>35.538754611010241</v>
      </c>
      <c r="G14" s="27">
        <f t="shared" si="0"/>
        <v>31.738634498176559</v>
      </c>
      <c r="H14" s="27">
        <f t="shared" si="0"/>
        <v>28.295801111701167</v>
      </c>
      <c r="I14" s="27">
        <f t="shared" si="0"/>
        <v>25.187885003301442</v>
      </c>
      <c r="J14" s="27">
        <f t="shared" si="0"/>
        <v>22.39096560737898</v>
      </c>
      <c r="K14" s="27">
        <f t="shared" si="0"/>
        <v>19.880591842349631</v>
      </c>
      <c r="L14" s="27">
        <f t="shared" si="0"/>
        <v>17.632530325317298</v>
      </c>
      <c r="M14" s="27">
        <f t="shared" si="1"/>
        <v>15.623310997034228</v>
      </c>
      <c r="N14" s="27">
        <f t="shared" si="1"/>
        <v>13.830604981135332</v>
      </c>
      <c r="O14" s="27">
        <f t="shared" si="1"/>
        <v>12.233460020753295</v>
      </c>
      <c r="P14" s="27">
        <f t="shared" si="1"/>
        <v>10.812421485836747</v>
      </c>
      <c r="Q14" s="27">
        <f t="shared" si="1"/>
        <v>9.5495685190362511</v>
      </c>
      <c r="R14" s="27">
        <f t="shared" si="1"/>
        <v>8.428492079526043</v>
      </c>
      <c r="S14" s="27">
        <f t="shared" si="1"/>
        <v>7.4342362102714974</v>
      </c>
      <c r="T14" s="27">
        <f t="shared" si="1"/>
        <v>6.5532180514302265</v>
      </c>
      <c r="U14" s="27">
        <f t="shared" si="1"/>
        <v>5.773137217327676</v>
      </c>
      <c r="V14" s="27">
        <f t="shared" si="1"/>
        <v>5.0828815074421039</v>
      </c>
      <c r="W14" s="27">
        <f t="shared" si="2"/>
        <v>4.4724334106890034</v>
      </c>
      <c r="X14" s="27">
        <f t="shared" si="2"/>
        <v>3.9327802013982032</v>
      </c>
      <c r="Y14" s="27">
        <f t="shared" si="2"/>
        <v>3.4558293300360297</v>
      </c>
      <c r="Z14" s="27">
        <f t="shared" si="2"/>
        <v>3.0343300591331572</v>
      </c>
      <c r="AA14" s="27">
        <f t="shared" si="2"/>
        <v>2.6618017343460458</v>
      </c>
      <c r="AB14" s="27">
        <f t="shared" si="2"/>
        <v>2.3324686244041577</v>
      </c>
      <c r="AC14" s="27">
        <f t="shared" si="2"/>
        <v>2.0412008731034295</v>
      </c>
      <c r="AD14" s="27">
        <f t="shared" si="2"/>
        <v>1.7834607776757316</v>
      </c>
      <c r="AE14" s="27">
        <f t="shared" si="2"/>
        <v>1.5552533589212343</v>
      </c>
      <c r="AF14" s="27">
        <f t="shared" si="2"/>
        <v>1.3530800472656195</v>
      </c>
      <c r="AG14" s="27">
        <f t="shared" si="2"/>
        <v>1.1738943014414345</v>
      </c>
    </row>
    <row r="15" spans="1:33">
      <c r="B15" s="26">
        <f>y_half-(9)*(2*y_half)/(25-1)</f>
        <v>37.5</v>
      </c>
      <c r="C15" s="27">
        <f t="shared" si="0"/>
        <v>98.5</v>
      </c>
      <c r="D15" s="27">
        <f t="shared" si="0"/>
        <v>83.131380820727728</v>
      </c>
      <c r="E15" s="27">
        <f t="shared" si="0"/>
        <v>68.503722603482032</v>
      </c>
      <c r="F15" s="27">
        <f t="shared" si="0"/>
        <v>57.824843935072813</v>
      </c>
      <c r="G15" s="27">
        <f t="shared" si="0"/>
        <v>49.502314279449266</v>
      </c>
      <c r="H15" s="27">
        <f t="shared" si="0"/>
        <v>42.724633954034744</v>
      </c>
      <c r="I15" s="27">
        <f t="shared" si="0"/>
        <v>37.059831094721595</v>
      </c>
      <c r="J15" s="27">
        <f t="shared" si="0"/>
        <v>32.249351655178572</v>
      </c>
      <c r="K15" s="27">
        <f t="shared" si="0"/>
        <v>28.122624058811319</v>
      </c>
      <c r="L15" s="27">
        <f t="shared" si="0"/>
        <v>24.558487207857457</v>
      </c>
      <c r="M15" s="27">
        <f t="shared" si="1"/>
        <v>21.46604896228764</v>
      </c>
      <c r="N15" s="27">
        <f t="shared" si="1"/>
        <v>18.774330972736934</v>
      </c>
      <c r="O15" s="27">
        <f t="shared" si="1"/>
        <v>16.426226973777194</v>
      </c>
      <c r="P15" s="27">
        <f t="shared" si="1"/>
        <v>14.374746838217773</v>
      </c>
      <c r="Q15" s="27">
        <f t="shared" si="1"/>
        <v>12.580557234773529</v>
      </c>
      <c r="R15" s="27">
        <f t="shared" si="1"/>
        <v>11.010301015704503</v>
      </c>
      <c r="S15" s="27">
        <f t="shared" si="1"/>
        <v>9.6354062623055032</v>
      </c>
      <c r="T15" s="27">
        <f t="shared" si="1"/>
        <v>8.4312147570669129</v>
      </c>
      <c r="U15" s="27">
        <f t="shared" si="1"/>
        <v>7.3763253665572268</v>
      </c>
      <c r="V15" s="27">
        <f t="shared" si="1"/>
        <v>6.452086130082793</v>
      </c>
      <c r="W15" s="27">
        <f t="shared" si="2"/>
        <v>5.6421921125164394</v>
      </c>
      <c r="X15" s="27">
        <f t="shared" si="2"/>
        <v>4.9323606160631615</v>
      </c>
      <c r="Y15" s="27">
        <f t="shared" si="2"/>
        <v>4.3100645911358662</v>
      </c>
      <c r="Z15" s="27">
        <f t="shared" si="2"/>
        <v>3.7643110139266454</v>
      </c>
      <c r="AA15" s="27">
        <f t="shared" si="2"/>
        <v>3.285454796200205</v>
      </c>
      <c r="AB15" s="27">
        <f t="shared" si="2"/>
        <v>2.8650412092029764</v>
      </c>
      <c r="AC15" s="27">
        <f t="shared" si="2"/>
        <v>2.4956713295517727</v>
      </c>
      <c r="AD15" s="27">
        <f t="shared" si="2"/>
        <v>2.1708859869374977</v>
      </c>
      <c r="AE15" s="27">
        <f t="shared" si="2"/>
        <v>1.8850643498050812</v>
      </c>
      <c r="AF15" s="27">
        <f t="shared" si="2"/>
        <v>1.6333337965157437</v>
      </c>
      <c r="AG15" s="27">
        <f t="shared" si="2"/>
        <v>1.4114882036685452</v>
      </c>
    </row>
    <row r="16" spans="1:33">
      <c r="B16" s="26">
        <f>y_half-(10)*(2*y_half)/(25-1)</f>
        <v>25</v>
      </c>
      <c r="C16" s="27">
        <f t="shared" ref="C16:L30" si="3">IF(C$4&lt;=0,IF(ABS($B16)&lt;=Y_src/2,C0_3,0),C$5*(IF(C$4&lt;=0,0,ERF(($B16+Y_src/2)/(2*SQRT(a_T*C$4)))-ERF(($B16-Y_src/2)/(2*SQRT(a_T*C$4))))))</f>
        <v>98.5</v>
      </c>
      <c r="D16" s="27">
        <f t="shared" si="3"/>
        <v>88.477615289642998</v>
      </c>
      <c r="E16" s="27">
        <f t="shared" si="3"/>
        <v>78.276787919191918</v>
      </c>
      <c r="F16" s="27">
        <f t="shared" si="3"/>
        <v>68.421481339424531</v>
      </c>
      <c r="G16" s="27">
        <f t="shared" si="3"/>
        <v>59.581193188033836</v>
      </c>
      <c r="H16" s="27">
        <f t="shared" si="3"/>
        <v>51.852060244092485</v>
      </c>
      <c r="I16" s="27">
        <f t="shared" si="3"/>
        <v>45.142199583868887</v>
      </c>
      <c r="J16" s="27">
        <f t="shared" si="3"/>
        <v>39.322714282529311</v>
      </c>
      <c r="K16" s="27">
        <f t="shared" si="3"/>
        <v>34.27054302617951</v>
      </c>
      <c r="L16" s="27">
        <f t="shared" si="3"/>
        <v>29.878455075230306</v>
      </c>
      <c r="M16" s="27">
        <f t="shared" ref="M16:V30" si="4">IF(M$4&lt;=0,IF(ABS($B16)&lt;=Y_src/2,C0_3,0),M$5*(IF(M$4&lt;=0,0,ERF(($B16+Y_src/2)/(2*SQRT(a_T*M$4)))-ERF(($B16-Y_src/2)/(2*SQRT(a_T*M$4))))))</f>
        <v>26.055418455286507</v>
      </c>
      <c r="N16" s="27">
        <f t="shared" si="4"/>
        <v>22.724467379751523</v>
      </c>
      <c r="O16" s="27">
        <f t="shared" si="4"/>
        <v>19.820273610376045</v>
      </c>
      <c r="P16" s="27">
        <f t="shared" si="4"/>
        <v>17.287037809607028</v>
      </c>
      <c r="Q16" s="27">
        <f t="shared" si="4"/>
        <v>15.076800583287875</v>
      </c>
      <c r="R16" s="27">
        <f t="shared" si="4"/>
        <v>13.148120804522231</v>
      </c>
      <c r="S16" s="27">
        <f t="shared" si="4"/>
        <v>11.46503989399924</v>
      </c>
      <c r="T16" s="27">
        <f t="shared" si="4"/>
        <v>9.9962596520095808</v>
      </c>
      <c r="U16" s="27">
        <f t="shared" si="4"/>
        <v>8.7144782110362726</v>
      </c>
      <c r="V16" s="27">
        <f t="shared" si="4"/>
        <v>7.5958442318142145</v>
      </c>
      <c r="W16" s="27">
        <f t="shared" ref="W16:AG30" si="5">IF(W$4&lt;=0,IF(ABS($B16)&lt;=Y_src/2,C0_3,0),W$5*(IF(W$4&lt;=0,0,ERF(($B16+Y_src/2)/(2*SQRT(a_T*W$4)))-ERF(($B16-Y_src/2)/(2*SQRT(a_T*W$4))))))</f>
        <v>6.6195013842892338</v>
      </c>
      <c r="X16" s="27">
        <f t="shared" si="5"/>
        <v>5.7672035969177085</v>
      </c>
      <c r="Y16" s="27">
        <f t="shared" si="5"/>
        <v>5.0229872794083876</v>
      </c>
      <c r="Z16" s="27">
        <f t="shared" si="5"/>
        <v>4.3728904849331158</v>
      </c>
      <c r="AA16" s="27">
        <f t="shared" si="5"/>
        <v>3.8047113856448065</v>
      </c>
      <c r="AB16" s="27">
        <f t="shared" si="5"/>
        <v>3.3077999397329547</v>
      </c>
      <c r="AC16" s="27">
        <f t="shared" si="5"/>
        <v>2.872877555291403</v>
      </c>
      <c r="AD16" s="27">
        <f t="shared" si="5"/>
        <v>2.4918801442450831</v>
      </c>
      <c r="AE16" s="27">
        <f t="shared" si="5"/>
        <v>2.1578203848160702</v>
      </c>
      <c r="AF16" s="27">
        <f t="shared" si="5"/>
        <v>1.8646654026074057</v>
      </c>
      <c r="AG16" s="27">
        <f t="shared" si="5"/>
        <v>1.6072265263442489</v>
      </c>
    </row>
    <row r="17" spans="2:33">
      <c r="B17" s="26">
        <f>y_half-(11)*(2*y_half)/(25-1)</f>
        <v>12.5</v>
      </c>
      <c r="C17" s="27">
        <f t="shared" si="3"/>
        <v>98.5</v>
      </c>
      <c r="D17" s="27">
        <f t="shared" si="3"/>
        <v>88.567093322923512</v>
      </c>
      <c r="E17" s="27">
        <f t="shared" si="3"/>
        <v>79.389016704599683</v>
      </c>
      <c r="F17" s="27">
        <f t="shared" si="3"/>
        <v>70.810141181312176</v>
      </c>
      <c r="G17" s="27">
        <f t="shared" si="3"/>
        <v>62.819403919156528</v>
      </c>
      <c r="H17" s="27">
        <f t="shared" si="3"/>
        <v>55.489325097292912</v>
      </c>
      <c r="I17" s="27">
        <f t="shared" si="3"/>
        <v>48.855336810730336</v>
      </c>
      <c r="J17" s="27">
        <f t="shared" si="3"/>
        <v>42.908785029690769</v>
      </c>
      <c r="K17" s="27">
        <f t="shared" si="3"/>
        <v>37.614378316996742</v>
      </c>
      <c r="L17" s="27">
        <f t="shared" si="3"/>
        <v>32.923737542859904</v>
      </c>
      <c r="M17" s="27">
        <f t="shared" si="4"/>
        <v>28.783401482292348</v>
      </c>
      <c r="N17" s="27">
        <f t="shared" si="4"/>
        <v>25.13930717743607</v>
      </c>
      <c r="O17" s="27">
        <f t="shared" si="4"/>
        <v>21.939260568856913</v>
      </c>
      <c r="P17" s="27">
        <f t="shared" si="4"/>
        <v>19.13425595078521</v>
      </c>
      <c r="Q17" s="27">
        <f t="shared" si="4"/>
        <v>16.679116822239752</v>
      </c>
      <c r="R17" s="27">
        <f t="shared" si="4"/>
        <v>14.532727670899323</v>
      </c>
      <c r="S17" s="27">
        <f t="shared" si="4"/>
        <v>12.658018022496256</v>
      </c>
      <c r="T17" s="27">
        <f t="shared" si="4"/>
        <v>11.021799318076935</v>
      </c>
      <c r="U17" s="27">
        <f t="shared" si="4"/>
        <v>9.594518993404197</v>
      </c>
      <c r="V17" s="27">
        <f t="shared" si="4"/>
        <v>8.3499734936273882</v>
      </c>
      <c r="W17" s="27">
        <f t="shared" si="5"/>
        <v>7.26500726842393</v>
      </c>
      <c r="X17" s="27">
        <f t="shared" si="5"/>
        <v>6.3192150228507229</v>
      </c>
      <c r="Y17" s="27">
        <f t="shared" si="5"/>
        <v>5.4946578832676831</v>
      </c>
      <c r="Z17" s="27">
        <f t="shared" si="5"/>
        <v>4.7755995929525783</v>
      </c>
      <c r="AA17" s="27">
        <f t="shared" si="5"/>
        <v>4.1482656908113809</v>
      </c>
      <c r="AB17" s="27">
        <f t="shared" si="5"/>
        <v>3.6006264083783406</v>
      </c>
      <c r="AC17" s="27">
        <f t="shared" si="5"/>
        <v>3.1222024675142168</v>
      </c>
      <c r="AD17" s="27">
        <f t="shared" si="5"/>
        <v>2.7038919060483617</v>
      </c>
      <c r="AE17" s="27">
        <f t="shared" si="5"/>
        <v>2.3378154052863769</v>
      </c>
      <c r="AF17" s="27">
        <f t="shared" si="5"/>
        <v>2.0171772884865118</v>
      </c>
      <c r="AG17" s="27">
        <f t="shared" si="5"/>
        <v>1.7361393680442248</v>
      </c>
    </row>
    <row r="18" spans="2:33">
      <c r="B18" s="26">
        <f>y_half-(12)*(2*y_half)/(25-1)</f>
        <v>0</v>
      </c>
      <c r="C18" s="27">
        <f t="shared" si="3"/>
        <v>98.5</v>
      </c>
      <c r="D18" s="27">
        <f t="shared" si="3"/>
        <v>88.567255207444447</v>
      </c>
      <c r="E18" s="27">
        <f t="shared" si="3"/>
        <v>79.430138902458708</v>
      </c>
      <c r="F18" s="27">
        <f t="shared" si="3"/>
        <v>71.051564493554778</v>
      </c>
      <c r="G18" s="27">
        <f t="shared" si="3"/>
        <v>63.348776834286618</v>
      </c>
      <c r="H18" s="27">
        <f t="shared" si="3"/>
        <v>56.265285242908327</v>
      </c>
      <c r="I18" s="27">
        <f t="shared" si="3"/>
        <v>49.785017524925244</v>
      </c>
      <c r="J18" s="27">
        <f t="shared" si="3"/>
        <v>43.902869501051335</v>
      </c>
      <c r="K18" s="27">
        <f t="shared" si="3"/>
        <v>38.605988493060799</v>
      </c>
      <c r="L18" s="27">
        <f t="shared" si="3"/>
        <v>33.86944167477143</v>
      </c>
      <c r="M18" s="27">
        <f t="shared" si="4"/>
        <v>29.658415394580842</v>
      </c>
      <c r="N18" s="27">
        <f t="shared" si="4"/>
        <v>25.932003815047413</v>
      </c>
      <c r="O18" s="27">
        <f t="shared" si="4"/>
        <v>22.6466265571073</v>
      </c>
      <c r="P18" s="27">
        <f t="shared" si="4"/>
        <v>19.758563349057624</v>
      </c>
      <c r="Q18" s="27">
        <f t="shared" si="4"/>
        <v>17.225636954101141</v>
      </c>
      <c r="R18" s="27">
        <f t="shared" si="4"/>
        <v>15.008226886989432</v>
      </c>
      <c r="S18" s="27">
        <f t="shared" si="4"/>
        <v>13.069803778712926</v>
      </c>
      <c r="T18" s="27">
        <f t="shared" si="4"/>
        <v>11.377139360945838</v>
      </c>
      <c r="U18" s="27">
        <f t="shared" si="4"/>
        <v>9.9003070137533236</v>
      </c>
      <c r="V18" s="27">
        <f t="shared" si="4"/>
        <v>8.612554023978408</v>
      </c>
      <c r="W18" s="27">
        <f t="shared" si="5"/>
        <v>7.490101099829781</v>
      </c>
      <c r="X18" s="27">
        <f t="shared" si="5"/>
        <v>6.5119062440805981</v>
      </c>
      <c r="Y18" s="27">
        <f t="shared" si="5"/>
        <v>5.6594171345852553</v>
      </c>
      <c r="Z18" s="27">
        <f t="shared" si="5"/>
        <v>4.916327173474019</v>
      </c>
      <c r="AA18" s="27">
        <f t="shared" si="5"/>
        <v>4.2683441610212043</v>
      </c>
      <c r="AB18" s="27">
        <f t="shared" si="5"/>
        <v>3.7029762735893001</v>
      </c>
      <c r="AC18" s="27">
        <f t="shared" si="5"/>
        <v>3.2093370923643416</v>
      </c>
      <c r="AD18" s="27">
        <f t="shared" si="5"/>
        <v>2.7779694557864207</v>
      </c>
      <c r="AE18" s="27">
        <f t="shared" si="5"/>
        <v>2.4006866483923357</v>
      </c>
      <c r="AF18" s="27">
        <f t="shared" si="5"/>
        <v>2.0704287374271311</v>
      </c>
      <c r="AG18" s="27">
        <f t="shared" si="5"/>
        <v>1.7811316224008669</v>
      </c>
    </row>
    <row r="19" spans="2:33">
      <c r="B19" s="26">
        <f>y_half-(13)*(2*y_half)/(25-1)</f>
        <v>-12.5</v>
      </c>
      <c r="C19" s="27">
        <f t="shared" si="3"/>
        <v>98.5</v>
      </c>
      <c r="D19" s="27">
        <f t="shared" si="3"/>
        <v>88.567093322923512</v>
      </c>
      <c r="E19" s="27">
        <f t="shared" si="3"/>
        <v>79.389016704599683</v>
      </c>
      <c r="F19" s="27">
        <f t="shared" si="3"/>
        <v>70.810141181312176</v>
      </c>
      <c r="G19" s="27">
        <f t="shared" si="3"/>
        <v>62.819403919156528</v>
      </c>
      <c r="H19" s="27">
        <f t="shared" si="3"/>
        <v>55.489325097292912</v>
      </c>
      <c r="I19" s="27">
        <f t="shared" si="3"/>
        <v>48.855336810730336</v>
      </c>
      <c r="J19" s="27">
        <f t="shared" si="3"/>
        <v>42.908785029690769</v>
      </c>
      <c r="K19" s="27">
        <f t="shared" si="3"/>
        <v>37.614378316996742</v>
      </c>
      <c r="L19" s="27">
        <f t="shared" si="3"/>
        <v>32.923737542859904</v>
      </c>
      <c r="M19" s="27">
        <f t="shared" si="4"/>
        <v>28.783401482292348</v>
      </c>
      <c r="N19" s="27">
        <f t="shared" si="4"/>
        <v>25.13930717743607</v>
      </c>
      <c r="O19" s="27">
        <f t="shared" si="4"/>
        <v>21.939260568856913</v>
      </c>
      <c r="P19" s="27">
        <f t="shared" si="4"/>
        <v>19.13425595078521</v>
      </c>
      <c r="Q19" s="27">
        <f t="shared" si="4"/>
        <v>16.679116822239752</v>
      </c>
      <c r="R19" s="27">
        <f t="shared" si="4"/>
        <v>14.532727670899323</v>
      </c>
      <c r="S19" s="27">
        <f t="shared" si="4"/>
        <v>12.658018022496256</v>
      </c>
      <c r="T19" s="27">
        <f t="shared" si="4"/>
        <v>11.021799318076935</v>
      </c>
      <c r="U19" s="27">
        <f t="shared" si="4"/>
        <v>9.594518993404197</v>
      </c>
      <c r="V19" s="27">
        <f t="shared" si="4"/>
        <v>8.3499734936273882</v>
      </c>
      <c r="W19" s="27">
        <f t="shared" si="5"/>
        <v>7.26500726842393</v>
      </c>
      <c r="X19" s="27">
        <f t="shared" si="5"/>
        <v>6.3192150228507229</v>
      </c>
      <c r="Y19" s="27">
        <f t="shared" si="5"/>
        <v>5.4946578832676831</v>
      </c>
      <c r="Z19" s="27">
        <f t="shared" si="5"/>
        <v>4.7755995929525783</v>
      </c>
      <c r="AA19" s="27">
        <f t="shared" si="5"/>
        <v>4.1482656908113809</v>
      </c>
      <c r="AB19" s="27">
        <f t="shared" si="5"/>
        <v>3.6006264083783406</v>
      </c>
      <c r="AC19" s="27">
        <f t="shared" si="5"/>
        <v>3.1222024675142168</v>
      </c>
      <c r="AD19" s="27">
        <f t="shared" si="5"/>
        <v>2.7038919060483617</v>
      </c>
      <c r="AE19" s="27">
        <f t="shared" si="5"/>
        <v>2.3378154052863769</v>
      </c>
      <c r="AF19" s="27">
        <f t="shared" si="5"/>
        <v>2.0171772884865118</v>
      </c>
      <c r="AG19" s="27">
        <f t="shared" si="5"/>
        <v>1.7361393680442248</v>
      </c>
    </row>
    <row r="20" spans="2:33">
      <c r="B20" s="26">
        <f>y_half-(14)*(2*y_half)/(25-1)</f>
        <v>-25</v>
      </c>
      <c r="C20" s="27">
        <f t="shared" si="3"/>
        <v>98.5</v>
      </c>
      <c r="D20" s="27">
        <f t="shared" si="3"/>
        <v>88.477615289642998</v>
      </c>
      <c r="E20" s="27">
        <f t="shared" si="3"/>
        <v>78.276787919191918</v>
      </c>
      <c r="F20" s="27">
        <f t="shared" si="3"/>
        <v>68.421481339424531</v>
      </c>
      <c r="G20" s="27">
        <f t="shared" si="3"/>
        <v>59.581193188033836</v>
      </c>
      <c r="H20" s="27">
        <f t="shared" si="3"/>
        <v>51.852060244092485</v>
      </c>
      <c r="I20" s="27">
        <f t="shared" si="3"/>
        <v>45.142199583868887</v>
      </c>
      <c r="J20" s="27">
        <f t="shared" si="3"/>
        <v>39.322714282529311</v>
      </c>
      <c r="K20" s="27">
        <f t="shared" si="3"/>
        <v>34.27054302617951</v>
      </c>
      <c r="L20" s="27">
        <f t="shared" si="3"/>
        <v>29.878455075230306</v>
      </c>
      <c r="M20" s="27">
        <f t="shared" si="4"/>
        <v>26.055418455286507</v>
      </c>
      <c r="N20" s="27">
        <f t="shared" si="4"/>
        <v>22.724467379751523</v>
      </c>
      <c r="O20" s="27">
        <f t="shared" si="4"/>
        <v>19.820273610376045</v>
      </c>
      <c r="P20" s="27">
        <f t="shared" si="4"/>
        <v>17.287037809607028</v>
      </c>
      <c r="Q20" s="27">
        <f t="shared" si="4"/>
        <v>15.076800583287875</v>
      </c>
      <c r="R20" s="27">
        <f t="shared" si="4"/>
        <v>13.148120804522231</v>
      </c>
      <c r="S20" s="27">
        <f t="shared" si="4"/>
        <v>11.46503989399924</v>
      </c>
      <c r="T20" s="27">
        <f t="shared" si="4"/>
        <v>9.9962596520095808</v>
      </c>
      <c r="U20" s="27">
        <f t="shared" si="4"/>
        <v>8.7144782110362726</v>
      </c>
      <c r="V20" s="27">
        <f t="shared" si="4"/>
        <v>7.5958442318142145</v>
      </c>
      <c r="W20" s="27">
        <f t="shared" si="5"/>
        <v>6.6195013842892338</v>
      </c>
      <c r="X20" s="27">
        <f t="shared" si="5"/>
        <v>5.7672035969177085</v>
      </c>
      <c r="Y20" s="27">
        <f t="shared" si="5"/>
        <v>5.0229872794083876</v>
      </c>
      <c r="Z20" s="27">
        <f t="shared" si="5"/>
        <v>4.3728904849331158</v>
      </c>
      <c r="AA20" s="27">
        <f t="shared" si="5"/>
        <v>3.8047113856448065</v>
      </c>
      <c r="AB20" s="27">
        <f t="shared" si="5"/>
        <v>3.3077999397329547</v>
      </c>
      <c r="AC20" s="27">
        <f t="shared" si="5"/>
        <v>2.872877555291403</v>
      </c>
      <c r="AD20" s="27">
        <f t="shared" si="5"/>
        <v>2.4918801442450831</v>
      </c>
      <c r="AE20" s="27">
        <f t="shared" si="5"/>
        <v>2.1578203848160702</v>
      </c>
      <c r="AF20" s="27">
        <f t="shared" si="5"/>
        <v>1.8646654026074057</v>
      </c>
      <c r="AG20" s="27">
        <f t="shared" si="5"/>
        <v>1.6072265263442489</v>
      </c>
    </row>
    <row r="21" spans="2:33">
      <c r="B21" s="26">
        <f>y_half-(15)*(2*y_half)/(25-1)</f>
        <v>-37.5</v>
      </c>
      <c r="C21" s="27">
        <f t="shared" si="3"/>
        <v>98.5</v>
      </c>
      <c r="D21" s="27">
        <f t="shared" si="3"/>
        <v>83.131380820727728</v>
      </c>
      <c r="E21" s="27">
        <f t="shared" si="3"/>
        <v>68.503722603482032</v>
      </c>
      <c r="F21" s="27">
        <f t="shared" si="3"/>
        <v>57.824843935072813</v>
      </c>
      <c r="G21" s="27">
        <f t="shared" si="3"/>
        <v>49.502314279449266</v>
      </c>
      <c r="H21" s="27">
        <f t="shared" si="3"/>
        <v>42.724633954034744</v>
      </c>
      <c r="I21" s="27">
        <f t="shared" si="3"/>
        <v>37.059831094721595</v>
      </c>
      <c r="J21" s="27">
        <f t="shared" si="3"/>
        <v>32.249351655178572</v>
      </c>
      <c r="K21" s="27">
        <f t="shared" si="3"/>
        <v>28.122624058811319</v>
      </c>
      <c r="L21" s="27">
        <f t="shared" si="3"/>
        <v>24.558487207857457</v>
      </c>
      <c r="M21" s="27">
        <f t="shared" si="4"/>
        <v>21.46604896228764</v>
      </c>
      <c r="N21" s="27">
        <f t="shared" si="4"/>
        <v>18.774330972736934</v>
      </c>
      <c r="O21" s="27">
        <f t="shared" si="4"/>
        <v>16.426226973777194</v>
      </c>
      <c r="P21" s="27">
        <f t="shared" si="4"/>
        <v>14.374746838217773</v>
      </c>
      <c r="Q21" s="27">
        <f t="shared" si="4"/>
        <v>12.580557234773529</v>
      </c>
      <c r="R21" s="27">
        <f t="shared" si="4"/>
        <v>11.010301015704503</v>
      </c>
      <c r="S21" s="27">
        <f t="shared" si="4"/>
        <v>9.6354062623055032</v>
      </c>
      <c r="T21" s="27">
        <f t="shared" si="4"/>
        <v>8.4312147570669129</v>
      </c>
      <c r="U21" s="27">
        <f t="shared" si="4"/>
        <v>7.3763253665572268</v>
      </c>
      <c r="V21" s="27">
        <f t="shared" si="4"/>
        <v>6.452086130082793</v>
      </c>
      <c r="W21" s="27">
        <f t="shared" si="5"/>
        <v>5.6421921125164394</v>
      </c>
      <c r="X21" s="27">
        <f t="shared" si="5"/>
        <v>4.9323606160631615</v>
      </c>
      <c r="Y21" s="27">
        <f t="shared" si="5"/>
        <v>4.3100645911358662</v>
      </c>
      <c r="Z21" s="27">
        <f t="shared" si="5"/>
        <v>3.7643110139266454</v>
      </c>
      <c r="AA21" s="27">
        <f t="shared" si="5"/>
        <v>3.285454796200205</v>
      </c>
      <c r="AB21" s="27">
        <f t="shared" si="5"/>
        <v>2.8650412092029764</v>
      </c>
      <c r="AC21" s="27">
        <f t="shared" si="5"/>
        <v>2.4956713295517727</v>
      </c>
      <c r="AD21" s="27">
        <f t="shared" si="5"/>
        <v>2.1708859869374977</v>
      </c>
      <c r="AE21" s="27">
        <f t="shared" si="5"/>
        <v>1.8850643498050812</v>
      </c>
      <c r="AF21" s="27">
        <f t="shared" si="5"/>
        <v>1.6333337965157437</v>
      </c>
      <c r="AG21" s="27">
        <f t="shared" si="5"/>
        <v>1.4114882036685452</v>
      </c>
    </row>
    <row r="22" spans="2:33">
      <c r="B22" s="26">
        <f>y_half-(16)*(2*y_half)/(25-1)</f>
        <v>-50</v>
      </c>
      <c r="C22" s="27">
        <f t="shared" si="3"/>
        <v>98.5</v>
      </c>
      <c r="D22" s="27">
        <f t="shared" si="3"/>
        <v>44.283627633336863</v>
      </c>
      <c r="E22" s="27">
        <f t="shared" si="3"/>
        <v>39.715573889412703</v>
      </c>
      <c r="F22" s="27">
        <f t="shared" si="3"/>
        <v>35.538754611010241</v>
      </c>
      <c r="G22" s="27">
        <f t="shared" si="3"/>
        <v>31.738634498176559</v>
      </c>
      <c r="H22" s="27">
        <f t="shared" si="3"/>
        <v>28.295801111701167</v>
      </c>
      <c r="I22" s="27">
        <f t="shared" si="3"/>
        <v>25.187885003301442</v>
      </c>
      <c r="J22" s="27">
        <f t="shared" si="3"/>
        <v>22.39096560737898</v>
      </c>
      <c r="K22" s="27">
        <f t="shared" si="3"/>
        <v>19.880591842349631</v>
      </c>
      <c r="L22" s="27">
        <f t="shared" si="3"/>
        <v>17.632530325317298</v>
      </c>
      <c r="M22" s="27">
        <f t="shared" si="4"/>
        <v>15.623310997034228</v>
      </c>
      <c r="N22" s="27">
        <f t="shared" si="4"/>
        <v>13.830604981135332</v>
      </c>
      <c r="O22" s="27">
        <f t="shared" si="4"/>
        <v>12.233460020753295</v>
      </c>
      <c r="P22" s="27">
        <f t="shared" si="4"/>
        <v>10.812421485836747</v>
      </c>
      <c r="Q22" s="27">
        <f t="shared" si="4"/>
        <v>9.5495685190362511</v>
      </c>
      <c r="R22" s="27">
        <f t="shared" si="4"/>
        <v>8.428492079526043</v>
      </c>
      <c r="S22" s="27">
        <f t="shared" si="4"/>
        <v>7.4342362102714974</v>
      </c>
      <c r="T22" s="27">
        <f t="shared" si="4"/>
        <v>6.5532180514302265</v>
      </c>
      <c r="U22" s="27">
        <f t="shared" si="4"/>
        <v>5.773137217327676</v>
      </c>
      <c r="V22" s="27">
        <f t="shared" si="4"/>
        <v>5.0828815074421039</v>
      </c>
      <c r="W22" s="27">
        <f t="shared" si="5"/>
        <v>4.4724334106890034</v>
      </c>
      <c r="X22" s="27">
        <f t="shared" si="5"/>
        <v>3.9327802013982032</v>
      </c>
      <c r="Y22" s="27">
        <f t="shared" si="5"/>
        <v>3.4558293300360297</v>
      </c>
      <c r="Z22" s="27">
        <f t="shared" si="5"/>
        <v>3.0343300591331572</v>
      </c>
      <c r="AA22" s="27">
        <f t="shared" si="5"/>
        <v>2.6618017343460458</v>
      </c>
      <c r="AB22" s="27">
        <f t="shared" si="5"/>
        <v>2.3324686244041577</v>
      </c>
      <c r="AC22" s="27">
        <f t="shared" si="5"/>
        <v>2.0412008731034295</v>
      </c>
      <c r="AD22" s="27">
        <f t="shared" si="5"/>
        <v>1.7834607776757316</v>
      </c>
      <c r="AE22" s="27">
        <f t="shared" si="5"/>
        <v>1.5552533589212343</v>
      </c>
      <c r="AF22" s="27">
        <f t="shared" si="5"/>
        <v>1.3530800472656195</v>
      </c>
      <c r="AG22" s="27">
        <f t="shared" si="5"/>
        <v>1.1738943014414345</v>
      </c>
    </row>
    <row r="23" spans="2:33">
      <c r="B23" s="26">
        <f>y_half-(17)*(2*y_half)/(25-1)</f>
        <v>-62.5</v>
      </c>
      <c r="C23" s="27">
        <f t="shared" si="3"/>
        <v>0</v>
      </c>
      <c r="D23" s="27">
        <f t="shared" si="3"/>
        <v>5.4358744459459958</v>
      </c>
      <c r="E23" s="27">
        <f t="shared" si="3"/>
        <v>10.927425175342504</v>
      </c>
      <c r="F23" s="27">
        <f t="shared" si="3"/>
        <v>13.252665271196776</v>
      </c>
      <c r="G23" s="27">
        <f t="shared" si="3"/>
        <v>13.9749526634661</v>
      </c>
      <c r="H23" s="27">
        <f t="shared" si="3"/>
        <v>13.866931789461699</v>
      </c>
      <c r="I23" s="27">
        <f t="shared" si="3"/>
        <v>13.31570208783433</v>
      </c>
      <c r="J23" s="27">
        <f t="shared" si="3"/>
        <v>12.531718952436062</v>
      </c>
      <c r="K23" s="27">
        <f t="shared" si="3"/>
        <v>11.636388543226996</v>
      </c>
      <c r="L23" s="27">
        <f t="shared" si="3"/>
        <v>10.702283654794053</v>
      </c>
      <c r="M23" s="27">
        <f t="shared" si="4"/>
        <v>9.7734320508251571</v>
      </c>
      <c r="N23" s="27">
        <f t="shared" si="4"/>
        <v>8.8763854657680064</v>
      </c>
      <c r="O23" s="27">
        <f t="shared" si="4"/>
        <v>8.0266485009272746</v>
      </c>
      <c r="P23" s="27">
        <f t="shared" si="4"/>
        <v>7.2325995454414489</v>
      </c>
      <c r="Q23" s="27">
        <f t="shared" si="4"/>
        <v>6.4979730314080708</v>
      </c>
      <c r="R23" s="27">
        <f t="shared" si="4"/>
        <v>5.8234752336617195</v>
      </c>
      <c r="S23" s="27">
        <f t="shared" si="4"/>
        <v>5.2078574976189191</v>
      </c>
      <c r="T23" s="27">
        <f t="shared" si="4"/>
        <v>4.6486391513815235</v>
      </c>
      <c r="U23" s="27">
        <f t="shared" si="4"/>
        <v>4.1425988105738218</v>
      </c>
      <c r="V23" s="27">
        <f t="shared" si="4"/>
        <v>3.6861097706685957</v>
      </c>
      <c r="W23" s="27">
        <f t="shared" si="5"/>
        <v>3.2753690383595089</v>
      </c>
      <c r="X23" s="27">
        <f t="shared" si="5"/>
        <v>2.9065531417505244</v>
      </c>
      <c r="Y23" s="27">
        <f t="shared" si="5"/>
        <v>2.5759232634050502</v>
      </c>
      <c r="Z23" s="27">
        <f t="shared" si="5"/>
        <v>2.2798952200346516</v>
      </c>
      <c r="AA23" s="27">
        <f t="shared" si="5"/>
        <v>2.0150850413061567</v>
      </c>
      <c r="AB23" s="27">
        <f t="shared" si="5"/>
        <v>1.778337574352576</v>
      </c>
      <c r="AC23" s="27">
        <f t="shared" si="5"/>
        <v>1.5667431685906064</v>
      </c>
      <c r="AD23" s="27">
        <f t="shared" si="5"/>
        <v>1.3776457782530316</v>
      </c>
      <c r="AE23" s="27">
        <f t="shared" si="5"/>
        <v>1.2086445788246649</v>
      </c>
      <c r="AF23" s="27">
        <f t="shared" si="5"/>
        <v>1.057590323379874</v>
      </c>
      <c r="AG23" s="27">
        <f t="shared" si="5"/>
        <v>0.92257710263051074</v>
      </c>
    </row>
    <row r="24" spans="2:33">
      <c r="B24" s="26">
        <f>y_half-(18)*(2*y_half)/(25-1)</f>
        <v>-75</v>
      </c>
      <c r="C24" s="27">
        <f t="shared" si="3"/>
        <v>0</v>
      </c>
      <c r="D24" s="27">
        <f t="shared" si="3"/>
        <v>8.9639977030729581E-2</v>
      </c>
      <c r="E24" s="27">
        <f t="shared" si="3"/>
        <v>1.1543598573142089</v>
      </c>
      <c r="F24" s="27">
        <f t="shared" si="3"/>
        <v>2.6560246913412962</v>
      </c>
      <c r="G24" s="27">
        <f t="shared" si="3"/>
        <v>3.8959597836411097</v>
      </c>
      <c r="H24" s="27">
        <f t="shared" si="3"/>
        <v>4.7385662030446785</v>
      </c>
      <c r="I24" s="27">
        <f t="shared" si="3"/>
        <v>5.2296494154746194</v>
      </c>
      <c r="J24" s="27">
        <f t="shared" si="3"/>
        <v>5.4489339119024685</v>
      </c>
      <c r="K24" s="27">
        <f t="shared" si="3"/>
        <v>5.4700556855462139</v>
      </c>
      <c r="L24" s="27">
        <f t="shared" si="3"/>
        <v>5.3522695260926607</v>
      </c>
      <c r="M24" s="27">
        <f t="shared" si="4"/>
        <v>5.1408797514374287</v>
      </c>
      <c r="N24" s="27">
        <f t="shared" si="4"/>
        <v>4.8696846533440228</v>
      </c>
      <c r="O24" s="27">
        <f t="shared" si="4"/>
        <v>4.5635112472834543</v>
      </c>
      <c r="P24" s="27">
        <f t="shared" si="4"/>
        <v>4.2403541168132151</v>
      </c>
      <c r="Q24" s="27">
        <f t="shared" si="4"/>
        <v>3.9130616869842645</v>
      </c>
      <c r="R24" s="27">
        <f t="shared" si="4"/>
        <v>3.5906300606092953</v>
      </c>
      <c r="S24" s="27">
        <f t="shared" si="4"/>
        <v>3.279184403973312</v>
      </c>
      <c r="T24" s="27">
        <f t="shared" si="4"/>
        <v>2.9827197963238108</v>
      </c>
      <c r="U24" s="27">
        <f t="shared" si="4"/>
        <v>2.7036595218336079</v>
      </c>
      <c r="V24" s="27">
        <f t="shared" si="4"/>
        <v>2.4432756368662978</v>
      </c>
      <c r="W24" s="27">
        <f t="shared" si="5"/>
        <v>2.2020058889897647</v>
      </c>
      <c r="X24" s="27">
        <f t="shared" si="5"/>
        <v>1.9796927126851573</v>
      </c>
      <c r="Y24" s="27">
        <f t="shared" si="5"/>
        <v>1.7757636736192479</v>
      </c>
      <c r="Z24" s="27">
        <f t="shared" si="5"/>
        <v>1.5893679274859858</v>
      </c>
      <c r="AA24" s="27">
        <f t="shared" si="5"/>
        <v>1.419479614780377</v>
      </c>
      <c r="AB24" s="27">
        <f t="shared" si="5"/>
        <v>1.2649763297872147</v>
      </c>
      <c r="AC24" s="27">
        <f t="shared" si="5"/>
        <v>1.1246986607154905</v>
      </c>
      <c r="AD24" s="27">
        <f t="shared" si="5"/>
        <v>0.997495144415674</v>
      </c>
      <c r="AE24" s="27">
        <f t="shared" si="5"/>
        <v>0.88225571057708696</v>
      </c>
      <c r="AF24" s="27">
        <f t="shared" si="5"/>
        <v>0.77793574028178503</v>
      </c>
      <c r="AG24" s="27">
        <f t="shared" si="5"/>
        <v>0.68357218879161952</v>
      </c>
    </row>
    <row r="25" spans="2:33">
      <c r="B25" s="26">
        <f>y_half-(19)*(2*y_half)/(25-1)</f>
        <v>-87.5</v>
      </c>
      <c r="C25" s="27">
        <f t="shared" si="3"/>
        <v>0</v>
      </c>
      <c r="D25" s="27">
        <f t="shared" si="3"/>
        <v>1.6194374969361386E-4</v>
      </c>
      <c r="E25" s="27">
        <f t="shared" si="3"/>
        <v>4.2129145448121977E-2</v>
      </c>
      <c r="F25" s="27">
        <f t="shared" si="3"/>
        <v>0.2670701764073713</v>
      </c>
      <c r="G25" s="27">
        <f t="shared" si="3"/>
        <v>0.65424152943382208</v>
      </c>
      <c r="H25" s="27">
        <f t="shared" si="3"/>
        <v>1.0864745707797676</v>
      </c>
      <c r="I25" s="27">
        <f t="shared" si="3"/>
        <v>1.4793749717651927</v>
      </c>
      <c r="J25" s="27">
        <f t="shared" si="3"/>
        <v>1.7940521013171207</v>
      </c>
      <c r="K25" s="27">
        <f t="shared" si="3"/>
        <v>2.0207238126228897</v>
      </c>
      <c r="L25" s="27">
        <f t="shared" si="3"/>
        <v>2.1644999912563079</v>
      </c>
      <c r="M25" s="27">
        <f t="shared" si="4"/>
        <v>2.2368229909052135</v>
      </c>
      <c r="N25" s="27">
        <f t="shared" si="4"/>
        <v>2.250911710673968</v>
      </c>
      <c r="O25" s="27">
        <f t="shared" si="4"/>
        <v>2.2195326476413664</v>
      </c>
      <c r="P25" s="27">
        <f t="shared" si="4"/>
        <v>2.1540302944146843</v>
      </c>
      <c r="Q25" s="27">
        <f t="shared" si="4"/>
        <v>2.0640107072736207</v>
      </c>
      <c r="R25" s="27">
        <f t="shared" si="4"/>
        <v>1.9573480944692945</v>
      </c>
      <c r="S25" s="27">
        <f t="shared" si="4"/>
        <v>1.8403383328186909</v>
      </c>
      <c r="T25" s="27">
        <f t="shared" si="4"/>
        <v>1.7179073362092514</v>
      </c>
      <c r="U25" s="27">
        <f t="shared" si="4"/>
        <v>1.5938276530745719</v>
      </c>
      <c r="V25" s="27">
        <f t="shared" si="4"/>
        <v>1.4709211322424469</v>
      </c>
      <c r="W25" s="27">
        <f t="shared" si="5"/>
        <v>1.3512385300438643</v>
      </c>
      <c r="X25" s="27">
        <f t="shared" si="5"/>
        <v>1.236213720367294</v>
      </c>
      <c r="Y25" s="27">
        <f t="shared" si="5"/>
        <v>1.1267935371404012</v>
      </c>
      <c r="Z25" s="27">
        <f t="shared" si="5"/>
        <v>1.0235457746325467</v>
      </c>
      <c r="AA25" s="27">
        <f t="shared" si="5"/>
        <v>0.92674835112208909</v>
      </c>
      <c r="AB25" s="27">
        <f t="shared" si="5"/>
        <v>0.83646258286769271</v>
      </c>
      <c r="AC25" s="27">
        <f t="shared" si="5"/>
        <v>0.75259318723607238</v>
      </c>
      <c r="AD25" s="27">
        <f t="shared" si="5"/>
        <v>0.67493719220167792</v>
      </c>
      <c r="AE25" s="27">
        <f t="shared" si="5"/>
        <v>0.60322346855957387</v>
      </c>
      <c r="AF25" s="27">
        <f t="shared" si="5"/>
        <v>0.53714418117398066</v>
      </c>
      <c r="AG25" s="27">
        <f t="shared" si="5"/>
        <v>0.47637911556163198</v>
      </c>
    </row>
    <row r="26" spans="2:33">
      <c r="B26" s="26">
        <f>y_half-(20)*(2*y_half)/(25-1)</f>
        <v>-100</v>
      </c>
      <c r="C26" s="27">
        <f t="shared" si="3"/>
        <v>0</v>
      </c>
      <c r="D26" s="27">
        <f t="shared" si="3"/>
        <v>2.9614639098360895E-8</v>
      </c>
      <c r="E26" s="27">
        <f t="shared" si="3"/>
        <v>5.044381833490399E-4</v>
      </c>
      <c r="F26" s="27">
        <f t="shared" si="3"/>
        <v>1.2972364268955441E-2</v>
      </c>
      <c r="G26" s="27">
        <f t="shared" si="3"/>
        <v>6.4246102258436702E-2</v>
      </c>
      <c r="H26" s="27">
        <f t="shared" si="3"/>
        <v>0.1631594409063046</v>
      </c>
      <c r="I26" s="27">
        <f t="shared" si="3"/>
        <v>0.29538793683529985</v>
      </c>
      <c r="J26" s="27">
        <f t="shared" si="3"/>
        <v>0.43959942909565725</v>
      </c>
      <c r="K26" s="27">
        <f t="shared" si="3"/>
        <v>0.57785010660828251</v>
      </c>
      <c r="L26" s="27">
        <f t="shared" si="3"/>
        <v>0.69849060128994755</v>
      </c>
      <c r="M26" s="27">
        <f t="shared" si="4"/>
        <v>0.79557947600515044</v>
      </c>
      <c r="N26" s="27">
        <f t="shared" si="4"/>
        <v>0.86732993246991041</v>
      </c>
      <c r="O26" s="27">
        <f t="shared" si="4"/>
        <v>0.91461273418223632</v>
      </c>
      <c r="P26" s="27">
        <f t="shared" si="4"/>
        <v>0.93980462159666689</v>
      </c>
      <c r="Q26" s="27">
        <f t="shared" si="4"/>
        <v>0.94599234113123465</v>
      </c>
      <c r="R26" s="27">
        <f t="shared" si="4"/>
        <v>0.93646087694978808</v>
      </c>
      <c r="S26" s="27">
        <f t="shared" si="4"/>
        <v>0.91438616100276227</v>
      </c>
      <c r="T26" s="27">
        <f t="shared" si="4"/>
        <v>0.88266636514651209</v>
      </c>
      <c r="U26" s="27">
        <f t="shared" si="4"/>
        <v>0.84384309775834931</v>
      </c>
      <c r="V26" s="27">
        <f t="shared" si="4"/>
        <v>0.80007857439183705</v>
      </c>
      <c r="W26" s="27">
        <f t="shared" si="5"/>
        <v>0.75316597497697102</v>
      </c>
      <c r="X26" s="27">
        <f t="shared" si="5"/>
        <v>0.70455812838153986</v>
      </c>
      <c r="Y26" s="27">
        <f t="shared" si="5"/>
        <v>0.65540510947911657</v>
      </c>
      <c r="Z26" s="27">
        <f t="shared" si="5"/>
        <v>0.60659497594753964</v>
      </c>
      <c r="AA26" s="27">
        <f t="shared" si="5"/>
        <v>0.55879424801435629</v>
      </c>
      <c r="AB26" s="27">
        <f t="shared" si="5"/>
        <v>0.51248623777056945</v>
      </c>
      <c r="AC26" s="27">
        <f t="shared" si="5"/>
        <v>0.46800624611050612</v>
      </c>
      <c r="AD26" s="27">
        <f t="shared" si="5"/>
        <v>0.42557316379673804</v>
      </c>
      <c r="AE26" s="27">
        <f t="shared" si="5"/>
        <v>0.38531728095625462</v>
      </c>
      <c r="AF26" s="27">
        <f t="shared" si="5"/>
        <v>0.34730422984130693</v>
      </c>
      <c r="AG26" s="27">
        <f t="shared" si="5"/>
        <v>0.31155503438469989</v>
      </c>
    </row>
    <row r="27" spans="2:33">
      <c r="B27" s="26">
        <f>y_half-(21)*(2*y_half)/(25-1)</f>
        <v>-112.5</v>
      </c>
      <c r="C27" s="27">
        <f t="shared" si="3"/>
        <v>0</v>
      </c>
      <c r="D27" s="27">
        <f t="shared" si="3"/>
        <v>5.3097879253454012E-13</v>
      </c>
      <c r="E27" s="27">
        <f t="shared" si="3"/>
        <v>1.9287776048694452E-6</v>
      </c>
      <c r="F27" s="27">
        <f t="shared" si="3"/>
        <v>2.9786437313835052E-4</v>
      </c>
      <c r="G27" s="27">
        <f t="shared" si="3"/>
        <v>3.6235902131345711E-3</v>
      </c>
      <c r="H27" s="27">
        <f t="shared" si="3"/>
        <v>1.5804456647373448E-2</v>
      </c>
      <c r="I27" s="27">
        <f t="shared" si="3"/>
        <v>4.1081615996823619E-2</v>
      </c>
      <c r="J27" s="27">
        <f t="shared" si="3"/>
        <v>7.9231225227547719E-2</v>
      </c>
      <c r="K27" s="27">
        <f t="shared" si="3"/>
        <v>0.12658654023788016</v>
      </c>
      <c r="L27" s="27">
        <f t="shared" si="3"/>
        <v>0.17818509773356334</v>
      </c>
      <c r="M27" s="27">
        <f t="shared" si="4"/>
        <v>0.22934877691549488</v>
      </c>
      <c r="N27" s="27">
        <f t="shared" si="4"/>
        <v>0.27644116496735099</v>
      </c>
      <c r="O27" s="27">
        <f t="shared" si="4"/>
        <v>0.31704923629317971</v>
      </c>
      <c r="P27" s="27">
        <f t="shared" si="4"/>
        <v>0.34986511549294219</v>
      </c>
      <c r="Q27" s="27">
        <f t="shared" si="4"/>
        <v>0.37445303921278894</v>
      </c>
      <c r="R27" s="27">
        <f t="shared" si="4"/>
        <v>0.3910016820254012</v>
      </c>
      <c r="S27" s="27">
        <f t="shared" si="4"/>
        <v>0.40010684019405246</v>
      </c>
      <c r="T27" s="27">
        <f t="shared" si="4"/>
        <v>0.40259903975559996</v>
      </c>
      <c r="U27" s="27">
        <f t="shared" si="4"/>
        <v>0.39941586158428066</v>
      </c>
      <c r="V27" s="27">
        <f t="shared" si="4"/>
        <v>0.39151272431514844</v>
      </c>
      <c r="W27" s="27">
        <f t="shared" si="5"/>
        <v>0.37980424400230955</v>
      </c>
      <c r="X27" s="27">
        <f t="shared" si="5"/>
        <v>0.36512869259997438</v>
      </c>
      <c r="Y27" s="27">
        <f t="shared" si="5"/>
        <v>0.34822924838525937</v>
      </c>
      <c r="Z27" s="27">
        <f t="shared" si="5"/>
        <v>0.32974705608687133</v>
      </c>
      <c r="AA27" s="27">
        <f t="shared" si="5"/>
        <v>0.31022232066684929</v>
      </c>
      <c r="AB27" s="27">
        <f t="shared" si="5"/>
        <v>0.29010064838532779</v>
      </c>
      <c r="AC27" s="27">
        <f t="shared" si="5"/>
        <v>0.26974260827175439</v>
      </c>
      <c r="AD27" s="27">
        <f t="shared" si="5"/>
        <v>0.2494350409865847</v>
      </c>
      <c r="AE27" s="27">
        <f t="shared" si="5"/>
        <v>0.22940303011650329</v>
      </c>
      <c r="AF27" s="27">
        <f t="shared" si="5"/>
        <v>0.20982171698821925</v>
      </c>
      <c r="AG27" s="27">
        <f t="shared" si="5"/>
        <v>0.19082732598311455</v>
      </c>
    </row>
    <row r="28" spans="2:33">
      <c r="B28" s="26">
        <f>y_half-(22)*(2*y_half)/(25-1)</f>
        <v>-125</v>
      </c>
      <c r="C28" s="27">
        <f t="shared" si="3"/>
        <v>0</v>
      </c>
      <c r="D28" s="27">
        <f t="shared" si="3"/>
        <v>0</v>
      </c>
      <c r="E28" s="27">
        <f t="shared" si="3"/>
        <v>2.319272948402034E-9</v>
      </c>
      <c r="F28" s="27">
        <f t="shared" si="3"/>
        <v>3.1913268587932663E-6</v>
      </c>
      <c r="G28" s="27">
        <f t="shared" si="3"/>
        <v>1.1606712816720044E-4</v>
      </c>
      <c r="H28" s="27">
        <f t="shared" si="3"/>
        <v>9.7767743866446926E-4</v>
      </c>
      <c r="I28" s="27">
        <f t="shared" si="3"/>
        <v>3.9443917866398585E-3</v>
      </c>
      <c r="J28" s="27">
        <f t="shared" si="3"/>
        <v>1.0420043197481809E-2</v>
      </c>
      <c r="K28" s="27">
        <f t="shared" si="3"/>
        <v>2.1089031364589492E-2</v>
      </c>
      <c r="L28" s="27">
        <f t="shared" si="3"/>
        <v>3.5693567880724919E-2</v>
      </c>
      <c r="M28" s="27">
        <f t="shared" si="4"/>
        <v>5.3259747867171511E-2</v>
      </c>
      <c r="N28" s="27">
        <f t="shared" si="4"/>
        <v>7.2467109364136723E-2</v>
      </c>
      <c r="O28" s="27">
        <f t="shared" si="4"/>
        <v>9.1966789346089595E-2</v>
      </c>
      <c r="P28" s="27">
        <f t="shared" si="4"/>
        <v>0.11058487990917508</v>
      </c>
      <c r="Q28" s="27">
        <f t="shared" si="4"/>
        <v>0.12741868927405833</v>
      </c>
      <c r="R28" s="27">
        <f t="shared" si="4"/>
        <v>0.14185697451395998</v>
      </c>
      <c r="S28" s="27">
        <f t="shared" si="4"/>
        <v>0.15355530859480285</v>
      </c>
      <c r="T28" s="27">
        <f t="shared" si="4"/>
        <v>0.16239010112969043</v>
      </c>
      <c r="U28" s="27">
        <f t="shared" si="4"/>
        <v>0.16840650074834557</v>
      </c>
      <c r="V28" s="27">
        <f t="shared" si="4"/>
        <v>0.17176886157236995</v>
      </c>
      <c r="W28" s="27">
        <f t="shared" si="5"/>
        <v>0.17271799327330614</v>
      </c>
      <c r="X28" s="27">
        <f t="shared" si="5"/>
        <v>0.17153666278304597</v>
      </c>
      <c r="Y28" s="27">
        <f t="shared" si="5"/>
        <v>0.16852327468990039</v>
      </c>
      <c r="Z28" s="27">
        <f t="shared" si="5"/>
        <v>0.16397289647375318</v>
      </c>
      <c r="AA28" s="27">
        <f t="shared" si="5"/>
        <v>0.15816449897705367</v>
      </c>
      <c r="AB28" s="27">
        <f t="shared" si="5"/>
        <v>0.15135324054089913</v>
      </c>
      <c r="AC28" s="27">
        <f t="shared" si="5"/>
        <v>0.14376670242653999</v>
      </c>
      <c r="AD28" s="27">
        <f t="shared" si="5"/>
        <v>0.1356041060777663</v>
      </c>
      <c r="AE28" s="27">
        <f t="shared" si="5"/>
        <v>0.12703766909985723</v>
      </c>
      <c r="AF28" s="27">
        <f t="shared" si="5"/>
        <v>0.11821537015651415</v>
      </c>
      <c r="AG28" s="27">
        <f t="shared" si="5"/>
        <v>0.10926449160374634</v>
      </c>
    </row>
    <row r="29" spans="2:33">
      <c r="B29" s="26">
        <f>y_half-(23)*(2*y_half)/(25-1)</f>
        <v>-137.5</v>
      </c>
      <c r="C29" s="27">
        <f t="shared" si="3"/>
        <v>0</v>
      </c>
      <c r="D29" s="27">
        <f t="shared" si="3"/>
        <v>0</v>
      </c>
      <c r="E29" s="27">
        <f t="shared" si="3"/>
        <v>8.6863494799408493E-13</v>
      </c>
      <c r="F29" s="27">
        <f t="shared" si="3"/>
        <v>1.5823052586568869E-8</v>
      </c>
      <c r="G29" s="27">
        <f t="shared" si="3"/>
        <v>2.0957679840300492E-6</v>
      </c>
      <c r="H29" s="27">
        <f t="shared" si="3"/>
        <v>3.8366400346565691E-5</v>
      </c>
      <c r="I29" s="27">
        <f t="shared" si="3"/>
        <v>2.598575122254256E-4</v>
      </c>
      <c r="J29" s="27">
        <f t="shared" si="3"/>
        <v>9.943443581978159E-4</v>
      </c>
      <c r="K29" s="27">
        <f t="shared" si="3"/>
        <v>2.6580770246127914E-3</v>
      </c>
      <c r="L29" s="27">
        <f t="shared" si="3"/>
        <v>5.5875542176671671E-3</v>
      </c>
      <c r="M29" s="27">
        <f t="shared" si="4"/>
        <v>9.9183071994516092E-3</v>
      </c>
      <c r="N29" s="27">
        <f t="shared" si="4"/>
        <v>1.5558549456199446E-2</v>
      </c>
      <c r="O29" s="27">
        <f t="shared" si="4"/>
        <v>2.2234676795808699E-2</v>
      </c>
      <c r="P29" s="27">
        <f t="shared" si="4"/>
        <v>2.9566688430002246E-2</v>
      </c>
      <c r="Q29" s="27">
        <f t="shared" si="4"/>
        <v>3.7141915672463111E-2</v>
      </c>
      <c r="R29" s="27">
        <f t="shared" si="4"/>
        <v>4.4571445929261197E-2</v>
      </c>
      <c r="S29" s="27">
        <f t="shared" si="4"/>
        <v>5.1525455590014015E-2</v>
      </c>
      <c r="T29" s="27">
        <f t="shared" si="4"/>
        <v>5.7749955784595401E-2</v>
      </c>
      <c r="U29" s="27">
        <f t="shared" si="4"/>
        <v>6.3069750806658262E-2</v>
      </c>
      <c r="V29" s="27">
        <f t="shared" si="4"/>
        <v>6.738249822627089E-2</v>
      </c>
      <c r="W29" s="27">
        <f t="shared" si="5"/>
        <v>7.0647902747086488E-2</v>
      </c>
      <c r="X29" s="27">
        <f t="shared" si="5"/>
        <v>7.2874984041734273E-2</v>
      </c>
      <c r="Y29" s="27">
        <f t="shared" si="5"/>
        <v>7.4109364264231287E-2</v>
      </c>
      <c r="Z29" s="27">
        <f t="shared" si="5"/>
        <v>7.442173866087945E-2</v>
      </c>
      <c r="AA29" s="27">
        <f t="shared" si="5"/>
        <v>7.3898130316589886E-2</v>
      </c>
      <c r="AB29" s="27">
        <f t="shared" si="5"/>
        <v>7.2632151476780621E-2</v>
      </c>
      <c r="AC29" s="27">
        <f t="shared" si="5"/>
        <v>7.0719252107285954E-2</v>
      </c>
      <c r="AD29" s="27">
        <f t="shared" si="5"/>
        <v>6.8252788621368868E-2</v>
      </c>
      <c r="AE29" s="27">
        <f t="shared" si="5"/>
        <v>6.5321659025559684E-2</v>
      </c>
      <c r="AF29" s="27">
        <f t="shared" si="5"/>
        <v>6.2009202800670175E-2</v>
      </c>
      <c r="AG29" s="27">
        <f t="shared" si="5"/>
        <v>5.8393041672703136E-2</v>
      </c>
    </row>
    <row r="30" spans="2:33">
      <c r="B30" s="26">
        <f>y_half-(24)*(2*y_half)/(25-1)</f>
        <v>-150</v>
      </c>
      <c r="C30" s="27">
        <f t="shared" si="3"/>
        <v>0</v>
      </c>
      <c r="D30" s="27">
        <f t="shared" si="3"/>
        <v>0</v>
      </c>
      <c r="E30" s="27">
        <f t="shared" si="3"/>
        <v>0</v>
      </c>
      <c r="F30" s="27">
        <f t="shared" si="3"/>
        <v>3.6106134021017266E-11</v>
      </c>
      <c r="G30" s="27">
        <f t="shared" si="3"/>
        <v>2.1225185401461568E-8</v>
      </c>
      <c r="H30" s="27">
        <f t="shared" si="3"/>
        <v>9.5065930700008983E-7</v>
      </c>
      <c r="I30" s="27">
        <f t="shared" si="3"/>
        <v>1.1695997489091574E-5</v>
      </c>
      <c r="J30" s="27">
        <f t="shared" si="3"/>
        <v>6.8572299711001209E-5</v>
      </c>
      <c r="K30" s="27">
        <f t="shared" si="3"/>
        <v>2.5251195003382182E-4</v>
      </c>
      <c r="L30" s="27">
        <f t="shared" si="3"/>
        <v>6.811251505547839E-4</v>
      </c>
      <c r="M30" s="27">
        <f t="shared" si="4"/>
        <v>1.4762501161651646E-3</v>
      </c>
      <c r="N30" s="27">
        <f t="shared" si="4"/>
        <v>2.7271840656634236E-3</v>
      </c>
      <c r="O30" s="27">
        <f t="shared" si="4"/>
        <v>4.4670909176562244E-3</v>
      </c>
      <c r="P30" s="27">
        <f t="shared" si="4"/>
        <v>6.6678384259950393E-3</v>
      </c>
      <c r="Q30" s="27">
        <f t="shared" si="4"/>
        <v>9.2494051054075755E-3</v>
      </c>
      <c r="R30" s="27">
        <f t="shared" si="4"/>
        <v>1.2096901577456527E-2</v>
      </c>
      <c r="S30" s="27">
        <f t="shared" si="4"/>
        <v>1.5079077003644003E-2</v>
      </c>
      <c r="T30" s="27">
        <f t="shared" si="4"/>
        <v>1.8064401634281819E-2</v>
      </c>
      <c r="U30" s="27">
        <f t="shared" si="4"/>
        <v>2.093294530564398E-2</v>
      </c>
      <c r="V30" s="27">
        <f t="shared" si="4"/>
        <v>2.3583769322211401E-2</v>
      </c>
      <c r="W30" s="27">
        <f t="shared" si="5"/>
        <v>2.5938390958756767E-2</v>
      </c>
      <c r="X30" s="27">
        <f t="shared" si="5"/>
        <v>2.7941230728200542E-2</v>
      </c>
      <c r="Y30" s="27">
        <f t="shared" si="5"/>
        <v>2.9557999547131401E-2</v>
      </c>
      <c r="Z30" s="27">
        <f t="shared" si="5"/>
        <v>3.0772872580892938E-2</v>
      </c>
      <c r="AA30" s="27">
        <f t="shared" si="5"/>
        <v>3.1585124571092242E-2</v>
      </c>
      <c r="AB30" s="27">
        <f t="shared" si="5"/>
        <v>3.2005721790846084E-2</v>
      </c>
      <c r="AC30" s="27">
        <f t="shared" si="5"/>
        <v>3.2054203946304052E-2</v>
      </c>
      <c r="AD30" s="27">
        <f t="shared" si="5"/>
        <v>3.1756054001020918E-2</v>
      </c>
      <c r="AE30" s="27">
        <f t="shared" si="5"/>
        <v>3.1140645212462497E-2</v>
      </c>
      <c r="AF30" s="27">
        <f t="shared" si="5"/>
        <v>3.0239769679740954E-2</v>
      </c>
      <c r="AG30" s="27">
        <f t="shared" si="5"/>
        <v>2.9086688319523102E-2</v>
      </c>
    </row>
  </sheetData>
  <mergeCells count="2">
    <mergeCell ref="A2:L2"/>
    <mergeCell ref="A1:K1"/>
  </mergeCells>
  <conditionalFormatting sqref="C6:AG30">
    <cfRule type="colorScale" priority="1">
      <colorScale>
        <cfvo type="num" val="0"/>
        <cfvo type="percentile" val="80"/>
        <cfvo type="percentile" val="99"/>
        <color rgb="FFFFFFFF"/>
        <color rgb="FFFFD24D"/>
        <color rgb="FFC0392B"/>
      </colorScale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2E6C97"/>
  </sheetPr>
  <dimension ref="A1:AG30"/>
  <sheetViews>
    <sheetView showGridLines="0" workbookViewId="0">
      <selection activeCell="N2" sqref="N2"/>
    </sheetView>
  </sheetViews>
  <sheetFormatPr defaultRowHeight="15"/>
  <cols>
    <col min="2" max="2" width="7" customWidth="1"/>
    <col min="3" max="33" width="5.140625" customWidth="1"/>
  </cols>
  <sheetData>
    <row r="1" spans="1:33">
      <c r="A1" s="51" t="s">
        <v>54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33">
      <c r="A2" s="50" t="str">
        <f>IF(mode=1,"t = "&amp;t_sim&amp;" yr   |   colour = concentration; rows = cross-gradient y (ft), columns = downgradient x (ft)","Steady state   |   colour = concentration")</f>
        <v>t = 33 yr   |   colour = concentration; rows = cross-gradient y (ft), columns = downgradient x (ft)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1:33">
      <c r="B4" s="24" t="s">
        <v>51</v>
      </c>
      <c r="C4" s="25">
        <f>Calc_x!B2</f>
        <v>0</v>
      </c>
      <c r="D4" s="25">
        <f>Calc_x!B3</f>
        <v>20</v>
      </c>
      <c r="E4" s="25">
        <f>Calc_x!B4</f>
        <v>40</v>
      </c>
      <c r="F4" s="25">
        <f>Calc_x!B5</f>
        <v>60</v>
      </c>
      <c r="G4" s="25">
        <f>Calc_x!B6</f>
        <v>80</v>
      </c>
      <c r="H4" s="25">
        <f>Calc_x!B7</f>
        <v>100</v>
      </c>
      <c r="I4" s="25">
        <f>Calc_x!B8</f>
        <v>120</v>
      </c>
      <c r="J4" s="25">
        <f>Calc_x!B9</f>
        <v>140</v>
      </c>
      <c r="K4" s="25">
        <f>Calc_x!B10</f>
        <v>160</v>
      </c>
      <c r="L4" s="25">
        <f>Calc_x!B11</f>
        <v>180</v>
      </c>
      <c r="M4" s="25">
        <f>Calc_x!B12</f>
        <v>200</v>
      </c>
      <c r="N4" s="25">
        <f>Calc_x!B13</f>
        <v>220</v>
      </c>
      <c r="O4" s="25">
        <f>Calc_x!B14</f>
        <v>240</v>
      </c>
      <c r="P4" s="25">
        <f>Calc_x!B15</f>
        <v>260</v>
      </c>
      <c r="Q4" s="25">
        <f>Calc_x!B16</f>
        <v>280</v>
      </c>
      <c r="R4" s="25">
        <f>Calc_x!B17</f>
        <v>300</v>
      </c>
      <c r="S4" s="25">
        <f>Calc_x!B18</f>
        <v>320</v>
      </c>
      <c r="T4" s="25">
        <f>Calc_x!B19</f>
        <v>340</v>
      </c>
      <c r="U4" s="25">
        <f>Calc_x!B20</f>
        <v>360</v>
      </c>
      <c r="V4" s="25">
        <f>Calc_x!B21</f>
        <v>380</v>
      </c>
      <c r="W4" s="25">
        <f>Calc_x!B22</f>
        <v>400</v>
      </c>
      <c r="X4" s="25">
        <f>Calc_x!B23</f>
        <v>420</v>
      </c>
      <c r="Y4" s="25">
        <f>Calc_x!B24</f>
        <v>440</v>
      </c>
      <c r="Z4" s="25">
        <f>Calc_x!B25</f>
        <v>460</v>
      </c>
      <c r="AA4" s="25">
        <f>Calc_x!B26</f>
        <v>480</v>
      </c>
      <c r="AB4" s="25">
        <f>Calc_x!B27</f>
        <v>500</v>
      </c>
      <c r="AC4" s="25">
        <f>Calc_x!B28</f>
        <v>520</v>
      </c>
      <c r="AD4" s="25">
        <f>Calc_x!B29</f>
        <v>540</v>
      </c>
      <c r="AE4" s="25">
        <f>Calc_x!B30</f>
        <v>560</v>
      </c>
      <c r="AF4" s="25">
        <f>Calc_x!B31</f>
        <v>580</v>
      </c>
      <c r="AG4" s="25">
        <f>Calc_x!B32</f>
        <v>600</v>
      </c>
    </row>
    <row r="5" spans="1:33" hidden="1">
      <c r="C5">
        <f>Calc_x!S2</f>
        <v>0</v>
      </c>
      <c r="D5">
        <f>Calc_x!S3</f>
        <v>4.8703169251776179</v>
      </c>
      <c r="E5">
        <f>Calc_x!S4</f>
        <v>7.4938077485824897</v>
      </c>
      <c r="F5">
        <f>Calc_x!S5</f>
        <v>9.5222844580205113</v>
      </c>
      <c r="G5">
        <f>Calc_x!S6</f>
        <v>11.045991861577773</v>
      </c>
      <c r="H5">
        <f>Calc_x!S7</f>
        <v>12.144419042155903</v>
      </c>
      <c r="I5">
        <f>Calc_x!S8</f>
        <v>12.887175088026371</v>
      </c>
      <c r="J5">
        <f>Calc_x!S9</f>
        <v>13.334883966487601</v>
      </c>
      <c r="K5">
        <f>Calc_x!S10</f>
        <v>13.540066755553381</v>
      </c>
      <c r="L5">
        <f>Calc_x!S11</f>
        <v>13.547989546772186</v>
      </c>
      <c r="M5">
        <f>Calc_x!S12</f>
        <v>13.397462911001988</v>
      </c>
      <c r="N5">
        <f>Calc_x!S13</f>
        <v>13.121584457816336</v>
      </c>
      <c r="O5">
        <f>Calc_x!S14</f>
        <v>12.748420178527091</v>
      </c>
      <c r="P5">
        <f>Calc_x!S15</f>
        <v>12.301623307771479</v>
      </c>
      <c r="Q5">
        <f>Calc_x!S16</f>
        <v>11.800991657187447</v>
      </c>
      <c r="R5">
        <f>Calc_x!S17</f>
        <v>11.262965990163362</v>
      </c>
      <c r="S5">
        <f>Calc_x!S18</f>
        <v>10.701073185923063</v>
      </c>
      <c r="T5">
        <f>Calc_x!S19</f>
        <v>10.126318800240162</v>
      </c>
      <c r="U5">
        <f>Calc_x!S20</f>
        <v>9.5475342378918882</v>
      </c>
      <c r="V5">
        <f>Calc_x!S21</f>
        <v>8.9716841352933994</v>
      </c>
      <c r="W5">
        <f>Calc_x!S22</f>
        <v>8.4041397020663986</v>
      </c>
      <c r="X5">
        <f>Calc_x!S23</f>
        <v>7.8489236547567405</v>
      </c>
      <c r="Y5">
        <f>Calc_x!S24</f>
        <v>7.3089319528296102</v>
      </c>
      <c r="Z5">
        <f>Calc_x!S25</f>
        <v>6.7861367850558336</v>
      </c>
      <c r="AA5">
        <f>Calc_x!S26</f>
        <v>6.2817741529486959</v>
      </c>
      <c r="AB5">
        <f>Calc_x!S27</f>
        <v>5.79651800549839</v>
      </c>
      <c r="AC5">
        <f>Calc_x!S28</f>
        <v>5.3306413045976848</v>
      </c>
      <c r="AD5">
        <f>Calc_x!S29</f>
        <v>4.8841628113543551</v>
      </c>
      <c r="AE5">
        <f>Calc_x!S30</f>
        <v>4.4569769927916081</v>
      </c>
      <c r="AF5">
        <f>Calc_x!S31</f>
        <v>4.048963484623644</v>
      </c>
      <c r="AG5">
        <f>Calc_x!S32</f>
        <v>3.6600722126754723</v>
      </c>
    </row>
    <row r="6" spans="1:33">
      <c r="B6" s="26">
        <f>y_half-(0)*(2*y_half)/(25-1)</f>
        <v>150</v>
      </c>
      <c r="C6" s="27">
        <f t="shared" ref="C6:L15" si="0">IF(C$4&lt;=0,IF(ABS($B6)&lt;=Y_src/2,C0_4,0),C$5*(IF(C$4&lt;=0,0,ERF(($B6+Y_src/2)/(2*SQRT(a_T*C$4)))-ERF(($B6-Y_src/2)/(2*SQRT(a_T*C$4))))))</f>
        <v>0</v>
      </c>
      <c r="D6" s="27">
        <f t="shared" si="0"/>
        <v>0</v>
      </c>
      <c r="E6" s="27">
        <f t="shared" si="0"/>
        <v>0</v>
      </c>
      <c r="F6" s="27">
        <f t="shared" si="0"/>
        <v>9.6743085848222889E-12</v>
      </c>
      <c r="G6" s="27">
        <f t="shared" si="0"/>
        <v>7.3869978578222446E-9</v>
      </c>
      <c r="H6" s="27">
        <f t="shared" si="0"/>
        <v>4.0801829773513438E-7</v>
      </c>
      <c r="I6" s="27">
        <f t="shared" si="0"/>
        <v>5.9841585532322447E-6</v>
      </c>
      <c r="J6" s="27">
        <f t="shared" si="0"/>
        <v>4.0837937748819692E-5</v>
      </c>
      <c r="K6" s="27">
        <f t="shared" si="0"/>
        <v>1.719760287391148E-4</v>
      </c>
      <c r="L6" s="27">
        <f t="shared" si="0"/>
        <v>5.233236410554699E-4</v>
      </c>
      <c r="M6" s="27">
        <f t="shared" ref="M6:V15" si="1">IF(M$4&lt;=0,IF(ABS($B6)&lt;=Y_src/2,C0_4,0),M$5*(IF(M$4&lt;=0,0,ERF(($B6+Y_src/2)/(2*SQRT(a_T*M$4)))-ERF(($B6-Y_src/2)/(2*SQRT(a_T*M$4))))))</f>
        <v>1.2658096309306301E-3</v>
      </c>
      <c r="N6" s="27">
        <f t="shared" si="1"/>
        <v>2.5868659569695321E-3</v>
      </c>
      <c r="O6" s="27">
        <f t="shared" si="1"/>
        <v>4.6534312121859168E-3</v>
      </c>
      <c r="P6" s="27">
        <f t="shared" si="1"/>
        <v>7.5815287345040016E-3</v>
      </c>
      <c r="Q6" s="27">
        <f t="shared" si="1"/>
        <v>1.141900110919432E-2</v>
      </c>
      <c r="R6" s="27">
        <f t="shared" si="1"/>
        <v>1.6141881962676751E-2</v>
      </c>
      <c r="S6" s="27">
        <f t="shared" si="1"/>
        <v>2.1661360844786738E-2</v>
      </c>
      <c r="T6" s="27">
        <f t="shared" si="1"/>
        <v>2.7837167372521954E-2</v>
      </c>
      <c r="U6" s="27">
        <f t="shared" si="1"/>
        <v>3.4493543436895466E-2</v>
      </c>
      <c r="V6" s="27">
        <f t="shared" si="1"/>
        <v>4.1434948540776229E-2</v>
      </c>
      <c r="W6" s="27">
        <f t="shared" ref="W6:AG15" si="2">IF(W$4&lt;=0,IF(ABS($B6)&lt;=Y_src/2,C0_4,0),W$5*(IF(W$4&lt;=0,0,ERF(($B6+Y_src/2)/(2*SQRT(a_T*W$4)))-ERF(($B6-Y_src/2)/(2*SQRT(a_T*W$4))))))</f>
        <v>4.8459723551644192E-2</v>
      </c>
      <c r="X6" s="27">
        <f t="shared" si="2"/>
        <v>5.5370864874725208E-2</v>
      </c>
      <c r="Y6" s="27">
        <f t="shared" si="2"/>
        <v>6.1983750032209038E-2</v>
      </c>
      <c r="Z6" s="27">
        <f t="shared" si="2"/>
        <v>6.8131110940595291E-2</v>
      </c>
      <c r="AA6" s="27">
        <f t="shared" si="2"/>
        <v>7.3665810895123099E-2</v>
      </c>
      <c r="AB6" s="27">
        <f t="shared" si="2"/>
        <v>7.8462089045497938E-2</v>
      </c>
      <c r="AC6" s="27">
        <f t="shared" si="2"/>
        <v>8.2415929723202219E-2</v>
      </c>
      <c r="AD6" s="27">
        <f t="shared" si="2"/>
        <v>8.5445123258740041E-2</v>
      </c>
      <c r="AE6" s="27">
        <f t="shared" si="2"/>
        <v>8.7489434427065832E-2</v>
      </c>
      <c r="AF6" s="27">
        <f t="shared" si="2"/>
        <v>8.8511107100591249E-2</v>
      </c>
      <c r="AG6" s="27">
        <f t="shared" si="2"/>
        <v>8.8495732715874284E-2</v>
      </c>
    </row>
    <row r="7" spans="1:33">
      <c r="B7" s="26">
        <f>y_half-(1)*(2*y_half)/(25-1)</f>
        <v>137.5</v>
      </c>
      <c r="C7" s="27">
        <f t="shared" si="0"/>
        <v>0</v>
      </c>
      <c r="D7" s="27">
        <f t="shared" si="0"/>
        <v>0</v>
      </c>
      <c r="E7" s="27">
        <f t="shared" si="0"/>
        <v>1.6390001872043652E-13</v>
      </c>
      <c r="F7" s="27">
        <f t="shared" si="0"/>
        <v>4.2396423108392618E-9</v>
      </c>
      <c r="G7" s="27">
        <f t="shared" si="0"/>
        <v>7.2938979404421903E-7</v>
      </c>
      <c r="H7" s="27">
        <f t="shared" si="0"/>
        <v>1.6466670282783993E-5</v>
      </c>
      <c r="I7" s="27">
        <f t="shared" si="0"/>
        <v>1.3295390631331368E-4</v>
      </c>
      <c r="J7" s="27">
        <f t="shared" si="0"/>
        <v>5.9217749983755919E-4</v>
      </c>
      <c r="K7" s="27">
        <f t="shared" si="0"/>
        <v>1.8103124652689192E-3</v>
      </c>
      <c r="L7" s="27">
        <f t="shared" si="0"/>
        <v>4.2930424979942651E-3</v>
      </c>
      <c r="M7" s="27">
        <f t="shared" si="1"/>
        <v>8.5044455801348909E-3</v>
      </c>
      <c r="N7" s="27">
        <f t="shared" si="1"/>
        <v>1.4758036479755666E-2</v>
      </c>
      <c r="O7" s="27">
        <f t="shared" si="1"/>
        <v>2.3162174422178338E-2</v>
      </c>
      <c r="P7" s="27">
        <f t="shared" si="1"/>
        <v>3.3618195822244686E-2</v>
      </c>
      <c r="Q7" s="27">
        <f t="shared" si="1"/>
        <v>4.5854146448131933E-2</v>
      </c>
      <c r="R7" s="27">
        <f t="shared" si="1"/>
        <v>5.9475313946237569E-2</v>
      </c>
      <c r="S7" s="27">
        <f t="shared" si="1"/>
        <v>7.4017228372639021E-2</v>
      </c>
      <c r="T7" s="27">
        <f t="shared" si="1"/>
        <v>8.8992440351896407E-2</v>
      </c>
      <c r="U7" s="27">
        <f t="shared" si="1"/>
        <v>0.10392704692239735</v>
      </c>
      <c r="V7" s="27">
        <f t="shared" si="1"/>
        <v>0.11838609462334586</v>
      </c>
      <c r="W7" s="27">
        <f t="shared" si="2"/>
        <v>0.13198882853107202</v>
      </c>
      <c r="X7" s="27">
        <f t="shared" si="2"/>
        <v>0.14441564630329704</v>
      </c>
      <c r="Y7" s="27">
        <f t="shared" si="2"/>
        <v>0.15540890384937581</v>
      </c>
      <c r="Z7" s="27">
        <f t="shared" si="2"/>
        <v>0.16476965937345192</v>
      </c>
      <c r="AA7" s="27">
        <f t="shared" si="2"/>
        <v>0.172352199566355</v>
      </c>
      <c r="AB7" s="27">
        <f t="shared" si="2"/>
        <v>0.17805786021570627</v>
      </c>
      <c r="AC7" s="27">
        <f t="shared" si="2"/>
        <v>0.18182928272107446</v>
      </c>
      <c r="AD7" s="27">
        <f t="shared" si="2"/>
        <v>0.18364586281148487</v>
      </c>
      <c r="AE7" s="27">
        <f t="shared" si="2"/>
        <v>0.18352076410082635</v>
      </c>
      <c r="AF7" s="27">
        <f t="shared" si="2"/>
        <v>0.18149950374752383</v>
      </c>
      <c r="AG7" s="27">
        <f t="shared" si="2"/>
        <v>0.17765979239602794</v>
      </c>
    </row>
    <row r="8" spans="1:33">
      <c r="B8" s="26">
        <f>y_half-(2)*(2*y_half)/(25-1)</f>
        <v>125</v>
      </c>
      <c r="C8" s="27">
        <f t="shared" si="0"/>
        <v>0</v>
      </c>
      <c r="D8" s="27">
        <f t="shared" si="0"/>
        <v>0</v>
      </c>
      <c r="E8" s="27">
        <f t="shared" si="0"/>
        <v>4.3761637790272733E-10</v>
      </c>
      <c r="F8" s="27">
        <f t="shared" si="0"/>
        <v>8.5508686166804944E-7</v>
      </c>
      <c r="G8" s="27">
        <f t="shared" si="0"/>
        <v>4.0394823928164593E-5</v>
      </c>
      <c r="H8" s="27">
        <f t="shared" si="0"/>
        <v>4.1961434692805818E-4</v>
      </c>
      <c r="I8" s="27">
        <f t="shared" si="0"/>
        <v>2.0181148182815854E-3</v>
      </c>
      <c r="J8" s="27">
        <f t="shared" si="0"/>
        <v>6.2056118466521978E-3</v>
      </c>
      <c r="K8" s="27">
        <f t="shared" si="0"/>
        <v>1.4362915749337629E-2</v>
      </c>
      <c r="L8" s="27">
        <f t="shared" si="0"/>
        <v>2.7424164106092771E-2</v>
      </c>
      <c r="M8" s="27">
        <f t="shared" si="1"/>
        <v>4.5667533606249769E-2</v>
      </c>
      <c r="N8" s="27">
        <f t="shared" si="1"/>
        <v>6.8738557317901655E-2</v>
      </c>
      <c r="O8" s="27">
        <f t="shared" si="1"/>
        <v>9.5803093314286408E-2</v>
      </c>
      <c r="P8" s="27">
        <f t="shared" si="1"/>
        <v>0.12573826644696637</v>
      </c>
      <c r="Q8" s="27">
        <f t="shared" si="1"/>
        <v>0.15730678217368921</v>
      </c>
      <c r="R8" s="27">
        <f t="shared" si="1"/>
        <v>0.18929132584281502</v>
      </c>
      <c r="S8" s="27">
        <f t="shared" si="1"/>
        <v>0.22058491698800894</v>
      </c>
      <c r="T8" s="27">
        <f t="shared" si="1"/>
        <v>0.25024246672024786</v>
      </c>
      <c r="U8" s="27">
        <f t="shared" si="1"/>
        <v>0.2775021318692506</v>
      </c>
      <c r="V8" s="27">
        <f t="shared" si="1"/>
        <v>0.30178525929931782</v>
      </c>
      <c r="W8" s="27">
        <f t="shared" si="2"/>
        <v>0.32268255265824425</v>
      </c>
      <c r="X8" s="27">
        <f t="shared" si="2"/>
        <v>0.33993253441177379</v>
      </c>
      <c r="Y8" s="27">
        <f t="shared" si="2"/>
        <v>0.35339687032378481</v>
      </c>
      <c r="Z8" s="27">
        <f t="shared" si="2"/>
        <v>0.36303583851449001</v>
      </c>
      <c r="AA8" s="27">
        <f t="shared" si="2"/>
        <v>0.36888618392941841</v>
      </c>
      <c r="AB8" s="27">
        <f t="shared" si="2"/>
        <v>0.37104276273629266</v>
      </c>
      <c r="AC8" s="27">
        <f t="shared" si="2"/>
        <v>0.3696446950787069</v>
      </c>
      <c r="AD8" s="27">
        <f t="shared" si="2"/>
        <v>0.36486616245940073</v>
      </c>
      <c r="AE8" s="27">
        <f t="shared" si="2"/>
        <v>0.35691148159098635</v>
      </c>
      <c r="AF8" s="27">
        <f t="shared" si="2"/>
        <v>0.34601365683909852</v>
      </c>
      <c r="AG8" s="27">
        <f t="shared" si="2"/>
        <v>0.33243527547998164</v>
      </c>
    </row>
    <row r="9" spans="1:33">
      <c r="B9" s="26">
        <f>y_half-(3)*(2*y_half)/(25-1)</f>
        <v>112.5</v>
      </c>
      <c r="C9" s="27">
        <f t="shared" si="0"/>
        <v>0</v>
      </c>
      <c r="D9" s="27">
        <f t="shared" si="0"/>
        <v>5.8397090265580906E-14</v>
      </c>
      <c r="E9" s="27">
        <f t="shared" si="0"/>
        <v>3.6393502964125898E-7</v>
      </c>
      <c r="F9" s="27">
        <f t="shared" si="0"/>
        <v>7.9810036169689771E-5</v>
      </c>
      <c r="G9" s="27">
        <f t="shared" si="0"/>
        <v>1.2611175184461532E-3</v>
      </c>
      <c r="H9" s="27">
        <f t="shared" si="0"/>
        <v>6.7831950420167023E-3</v>
      </c>
      <c r="I9" s="27">
        <f t="shared" si="0"/>
        <v>2.1019062630380995E-2</v>
      </c>
      <c r="J9" s="27">
        <f t="shared" si="0"/>
        <v>4.7185814931713678E-2</v>
      </c>
      <c r="K9" s="27">
        <f t="shared" si="0"/>
        <v>8.62131494332007E-2</v>
      </c>
      <c r="L9" s="27">
        <f t="shared" si="0"/>
        <v>0.1369035838007174</v>
      </c>
      <c r="M9" s="27">
        <f t="shared" si="1"/>
        <v>0.19665494856382015</v>
      </c>
      <c r="N9" s="27">
        <f t="shared" si="1"/>
        <v>0.26221781205115591</v>
      </c>
      <c r="O9" s="27">
        <f t="shared" si="1"/>
        <v>0.33027463267760848</v>
      </c>
      <c r="P9" s="27">
        <f t="shared" si="1"/>
        <v>0.39780694384694376</v>
      </c>
      <c r="Q9" s="27">
        <f t="shared" si="1"/>
        <v>0.46228699266422757</v>
      </c>
      <c r="R9" s="27">
        <f t="shared" si="1"/>
        <v>0.52174542034995541</v>
      </c>
      <c r="S9" s="27">
        <f t="shared" si="1"/>
        <v>0.57476055330285558</v>
      </c>
      <c r="T9" s="27">
        <f t="shared" si="1"/>
        <v>0.62040343658129804</v>
      </c>
      <c r="U9" s="27">
        <f t="shared" si="1"/>
        <v>0.65816196286662809</v>
      </c>
      <c r="V9" s="27">
        <f t="shared" si="1"/>
        <v>0.68785906796412621</v>
      </c>
      <c r="W9" s="27">
        <f t="shared" si="2"/>
        <v>0.70957403245861572</v>
      </c>
      <c r="X9" s="27">
        <f t="shared" si="2"/>
        <v>0.72357197492496761</v>
      </c>
      <c r="Y9" s="27">
        <f t="shared" si="2"/>
        <v>0.73024409691185366</v>
      </c>
      <c r="Z9" s="27">
        <f t="shared" si="2"/>
        <v>0.73005967192476617</v>
      </c>
      <c r="AA9" s="27">
        <f t="shared" si="2"/>
        <v>0.7235297982837775</v>
      </c>
      <c r="AB9" s="27">
        <f t="shared" si="2"/>
        <v>0.71118230216811973</v>
      </c>
      <c r="AC9" s="27">
        <f t="shared" si="2"/>
        <v>0.69354671493070996</v>
      </c>
      <c r="AD9" s="27">
        <f t="shared" si="2"/>
        <v>0.67114786432415119</v>
      </c>
      <c r="AE9" s="27">
        <f t="shared" si="2"/>
        <v>0.64450627865333587</v>
      </c>
      <c r="AF9" s="27">
        <f t="shared" si="2"/>
        <v>0.61414331726263705</v>
      </c>
      <c r="AG9" s="27">
        <f t="shared" si="2"/>
        <v>0.58058875075688232</v>
      </c>
    </row>
    <row r="10" spans="1:33">
      <c r="B10" s="26">
        <f>y_half-(4)*(2*y_half)/(25-1)</f>
        <v>100</v>
      </c>
      <c r="C10" s="27">
        <f t="shared" si="0"/>
        <v>0</v>
      </c>
      <c r="D10" s="27">
        <f t="shared" si="0"/>
        <v>3.2570203874895526E-9</v>
      </c>
      <c r="E10" s="27">
        <f t="shared" si="0"/>
        <v>9.5180867273571434E-5</v>
      </c>
      <c r="F10" s="27">
        <f t="shared" si="0"/>
        <v>3.4758264326927154E-3</v>
      </c>
      <c r="G10" s="27">
        <f t="shared" si="0"/>
        <v>2.2359560624795334E-2</v>
      </c>
      <c r="H10" s="27">
        <f t="shared" si="0"/>
        <v>7.002722936367399E-2</v>
      </c>
      <c r="I10" s="27">
        <f t="shared" si="0"/>
        <v>0.15113274865039994</v>
      </c>
      <c r="J10" s="27">
        <f t="shared" si="0"/>
        <v>0.26180154662284122</v>
      </c>
      <c r="K10" s="27">
        <f t="shared" si="0"/>
        <v>0.39355114293662508</v>
      </c>
      <c r="L10" s="27">
        <f t="shared" si="0"/>
        <v>0.53666590407408432</v>
      </c>
      <c r="M10" s="27">
        <f t="shared" si="1"/>
        <v>0.6821690659805465</v>
      </c>
      <c r="N10" s="27">
        <f t="shared" si="1"/>
        <v>0.82270437995584755</v>
      </c>
      <c r="O10" s="27">
        <f t="shared" si="1"/>
        <v>0.95276490287763993</v>
      </c>
      <c r="P10" s="27">
        <f t="shared" si="1"/>
        <v>1.0685855427565352</v>
      </c>
      <c r="Q10" s="27">
        <f t="shared" si="1"/>
        <v>1.1678899853085087</v>
      </c>
      <c r="R10" s="27">
        <f t="shared" si="1"/>
        <v>1.2495960921562324</v>
      </c>
      <c r="S10" s="27">
        <f t="shared" si="1"/>
        <v>1.3135318945697794</v>
      </c>
      <c r="T10" s="27">
        <f t="shared" si="1"/>
        <v>1.3601851773517599</v>
      </c>
      <c r="U10" s="27">
        <f t="shared" si="1"/>
        <v>1.3904941765936838</v>
      </c>
      <c r="V10" s="27">
        <f t="shared" si="1"/>
        <v>1.4056792239432767</v>
      </c>
      <c r="W10" s="27">
        <f t="shared" si="2"/>
        <v>1.4071117593193203</v>
      </c>
      <c r="X10" s="27">
        <f t="shared" si="2"/>
        <v>1.3962159828424985</v>
      </c>
      <c r="Y10" s="27">
        <f t="shared" si="2"/>
        <v>1.3743983726303546</v>
      </c>
      <c r="Z10" s="27">
        <f t="shared" si="2"/>
        <v>1.3430007060163229</v>
      </c>
      <c r="AA10" s="27">
        <f t="shared" si="2"/>
        <v>1.3032727260852019</v>
      </c>
      <c r="AB10" s="27">
        <f t="shared" si="2"/>
        <v>1.2563610058638723</v>
      </c>
      <c r="AC10" s="27">
        <f t="shared" si="2"/>
        <v>1.2033108029784818</v>
      </c>
      <c r="AD10" s="27">
        <f t="shared" si="2"/>
        <v>1.1450777680078015</v>
      </c>
      <c r="AE10" s="27">
        <f t="shared" si="2"/>
        <v>1.0825463234893513</v>
      </c>
      <c r="AF10" s="27">
        <f t="shared" si="2"/>
        <v>1.0165514555676871</v>
      </c>
      <c r="AG10" s="27">
        <f t="shared" si="2"/>
        <v>0.94790065979039162</v>
      </c>
    </row>
    <row r="11" spans="1:33">
      <c r="B11" s="26">
        <f>y_half-(5)*(2*y_half)/(25-1)</f>
        <v>87.5</v>
      </c>
      <c r="C11" s="27">
        <f t="shared" si="0"/>
        <v>0</v>
      </c>
      <c r="D11" s="27">
        <f t="shared" si="0"/>
        <v>1.7810586603022247E-5</v>
      </c>
      <c r="E11" s="27">
        <f t="shared" si="0"/>
        <v>7.9492170371093622E-3</v>
      </c>
      <c r="F11" s="27">
        <f t="shared" si="0"/>
        <v>7.1559012628265889E-2</v>
      </c>
      <c r="G11" s="27">
        <f t="shared" si="0"/>
        <v>0.22769557415000011</v>
      </c>
      <c r="H11" s="27">
        <f t="shared" si="0"/>
        <v>0.46630954079748965</v>
      </c>
      <c r="I11" s="27">
        <f t="shared" si="0"/>
        <v>0.75690973762460889</v>
      </c>
      <c r="J11" s="27">
        <f t="shared" si="0"/>
        <v>1.0684400018740161</v>
      </c>
      <c r="K11" s="27">
        <f t="shared" si="0"/>
        <v>1.3762360808147929</v>
      </c>
      <c r="L11" s="27">
        <f t="shared" si="0"/>
        <v>1.6630336077975678</v>
      </c>
      <c r="M11" s="27">
        <f t="shared" si="1"/>
        <v>1.9179623111088699</v>
      </c>
      <c r="N11" s="27">
        <f t="shared" si="1"/>
        <v>2.1350985985135793</v>
      </c>
      <c r="O11" s="27">
        <f t="shared" si="1"/>
        <v>2.3121182642996367</v>
      </c>
      <c r="P11" s="27">
        <f t="shared" si="1"/>
        <v>2.4491959055921479</v>
      </c>
      <c r="Q11" s="27">
        <f t="shared" si="1"/>
        <v>2.5481574530633408</v>
      </c>
      <c r="R11" s="27">
        <f t="shared" si="1"/>
        <v>2.6118491333081333</v>
      </c>
      <c r="S11" s="27">
        <f t="shared" si="1"/>
        <v>2.6436785682602006</v>
      </c>
      <c r="T11" s="27">
        <f t="shared" si="1"/>
        <v>2.6472880207549432</v>
      </c>
      <c r="U11" s="27">
        <f t="shared" si="1"/>
        <v>2.6263271880536543</v>
      </c>
      <c r="V11" s="27">
        <f t="shared" si="1"/>
        <v>2.5843002697878821</v>
      </c>
      <c r="W11" s="27">
        <f t="shared" si="2"/>
        <v>2.52446829575408</v>
      </c>
      <c r="X11" s="27">
        <f t="shared" si="2"/>
        <v>2.4497926928341522</v>
      </c>
      <c r="Y11" s="27">
        <f t="shared" si="2"/>
        <v>2.3629098725931037</v>
      </c>
      <c r="Z11" s="27">
        <f t="shared" si="2"/>
        <v>2.2661293820053268</v>
      </c>
      <c r="AA11" s="27">
        <f t="shared" si="2"/>
        <v>2.1614500404285133</v>
      </c>
      <c r="AB11" s="27">
        <f t="shared" si="2"/>
        <v>2.0505896442230225</v>
      </c>
      <c r="AC11" s="27">
        <f t="shared" si="2"/>
        <v>1.9350244146855708</v>
      </c>
      <c r="AD11" s="27">
        <f t="shared" si="2"/>
        <v>1.8160345607715074</v>
      </c>
      <c r="AE11" s="27">
        <f t="shared" si="2"/>
        <v>1.6947523000033795</v>
      </c>
      <c r="AF11" s="27">
        <f t="shared" si="2"/>
        <v>1.5722086064762932</v>
      </c>
      <c r="AG11" s="27">
        <f t="shared" si="2"/>
        <v>1.4493749999676133</v>
      </c>
    </row>
    <row r="12" spans="1:33">
      <c r="B12" s="26">
        <f>y_half-(6)*(2*y_half)/(25-1)</f>
        <v>75</v>
      </c>
      <c r="C12" s="27">
        <f t="shared" si="0"/>
        <v>0</v>
      </c>
      <c r="D12" s="27">
        <f t="shared" si="0"/>
        <v>9.8586118761562341E-3</v>
      </c>
      <c r="E12" s="27">
        <f t="shared" si="0"/>
        <v>0.21781256057085055</v>
      </c>
      <c r="F12" s="27">
        <f t="shared" si="0"/>
        <v>0.71165753879897453</v>
      </c>
      <c r="G12" s="27">
        <f t="shared" si="0"/>
        <v>1.3559102562155589</v>
      </c>
      <c r="H12" s="27">
        <f t="shared" si="0"/>
        <v>2.033769302667066</v>
      </c>
      <c r="I12" s="27">
        <f t="shared" si="0"/>
        <v>2.6757060532208725</v>
      </c>
      <c r="J12" s="27">
        <f t="shared" si="0"/>
        <v>3.2450891224230833</v>
      </c>
      <c r="K12" s="27">
        <f t="shared" si="0"/>
        <v>3.7254413252761016</v>
      </c>
      <c r="L12" s="27">
        <f t="shared" si="0"/>
        <v>4.112268023025762</v>
      </c>
      <c r="M12" s="27">
        <f t="shared" si="1"/>
        <v>4.408043751915077</v>
      </c>
      <c r="N12" s="27">
        <f t="shared" si="1"/>
        <v>4.6191313631953879</v>
      </c>
      <c r="O12" s="27">
        <f t="shared" si="1"/>
        <v>4.7538736208244279</v>
      </c>
      <c r="P12" s="27">
        <f t="shared" si="1"/>
        <v>4.8214075577715034</v>
      </c>
      <c r="Q12" s="27">
        <f t="shared" si="1"/>
        <v>4.8309329340430205</v>
      </c>
      <c r="R12" s="27">
        <f t="shared" si="1"/>
        <v>4.7912704124175063</v>
      </c>
      <c r="S12" s="27">
        <f t="shared" si="1"/>
        <v>4.7106064007695814</v>
      </c>
      <c r="T12" s="27">
        <f t="shared" si="1"/>
        <v>4.5963587323052533</v>
      </c>
      <c r="U12" s="27">
        <f t="shared" si="1"/>
        <v>4.455120662346495</v>
      </c>
      <c r="V12" s="27">
        <f t="shared" si="1"/>
        <v>4.2926556353797709</v>
      </c>
      <c r="W12" s="27">
        <f t="shared" si="2"/>
        <v>4.1139250622449195</v>
      </c>
      <c r="X12" s="27">
        <f t="shared" si="2"/>
        <v>3.9231377727729591</v>
      </c>
      <c r="Y12" s="27">
        <f t="shared" si="2"/>
        <v>3.723813970779184</v>
      </c>
      <c r="Z12" s="27">
        <f t="shared" si="2"/>
        <v>3.5188590960535406</v>
      </c>
      <c r="AA12" s="27">
        <f t="shared" si="2"/>
        <v>3.3106444344245745</v>
      </c>
      <c r="AB12" s="27">
        <f t="shared" si="2"/>
        <v>3.1010919259005352</v>
      </c>
      <c r="AC12" s="27">
        <f t="shared" si="2"/>
        <v>2.891760654439691</v>
      </c>
      <c r="AD12" s="27">
        <f t="shared" si="2"/>
        <v>2.6839321901219808</v>
      </c>
      <c r="AE12" s="27">
        <f t="shared" si="2"/>
        <v>2.4786915175266739</v>
      </c>
      <c r="AF12" s="27">
        <f t="shared" si="2"/>
        <v>2.2769999360011219</v>
      </c>
      <c r="AG12" s="27">
        <f t="shared" si="2"/>
        <v>2.0797562461143104</v>
      </c>
    </row>
    <row r="13" spans="1:33">
      <c r="B13" s="26">
        <f>y_half-(7)*(2*y_half)/(25-1)</f>
        <v>62.5</v>
      </c>
      <c r="C13" s="27">
        <f t="shared" si="0"/>
        <v>0</v>
      </c>
      <c r="D13" s="27">
        <f t="shared" si="0"/>
        <v>0.59783790832215489</v>
      </c>
      <c r="E13" s="27">
        <f t="shared" si="0"/>
        <v>2.0618617693666659</v>
      </c>
      <c r="F13" s="27">
        <f t="shared" si="0"/>
        <v>3.5509305241675646</v>
      </c>
      <c r="G13" s="27">
        <f t="shared" si="0"/>
        <v>4.863700525371276</v>
      </c>
      <c r="H13" s="27">
        <f t="shared" si="0"/>
        <v>5.9516189047785222</v>
      </c>
      <c r="I13" s="27">
        <f t="shared" si="0"/>
        <v>6.8128667619434689</v>
      </c>
      <c r="J13" s="27">
        <f t="shared" si="0"/>
        <v>7.4632112474300385</v>
      </c>
      <c r="K13" s="27">
        <f t="shared" si="0"/>
        <v>7.9250898433181911</v>
      </c>
      <c r="L13" s="27">
        <f t="shared" si="0"/>
        <v>8.2228031739444472</v>
      </c>
      <c r="M13" s="27">
        <f t="shared" si="1"/>
        <v>8.3802224851418519</v>
      </c>
      <c r="N13" s="27">
        <f t="shared" si="1"/>
        <v>8.4196808244215759</v>
      </c>
      <c r="O13" s="27">
        <f t="shared" si="1"/>
        <v>8.3614722314758012</v>
      </c>
      <c r="P13" s="27">
        <f t="shared" si="1"/>
        <v>8.2236787659926005</v>
      </c>
      <c r="Q13" s="27">
        <f t="shared" si="1"/>
        <v>8.0221766056914312</v>
      </c>
      <c r="R13" s="27">
        <f t="shared" si="1"/>
        <v>7.770737757304591</v>
      </c>
      <c r="S13" s="27">
        <f t="shared" si="1"/>
        <v>7.4811794154834583</v>
      </c>
      <c r="T13" s="27">
        <f t="shared" si="1"/>
        <v>7.1635334915210773</v>
      </c>
      <c r="U13" s="27">
        <f t="shared" si="1"/>
        <v>6.8262210562233951</v>
      </c>
      <c r="V13" s="27">
        <f t="shared" si="1"/>
        <v>6.4762238205688236</v>
      </c>
      <c r="W13" s="27">
        <f t="shared" si="2"/>
        <v>6.1192492001872472</v>
      </c>
      <c r="X13" s="27">
        <f t="shared" si="2"/>
        <v>5.7598880603582128</v>
      </c>
      <c r="Y13" s="27">
        <f t="shared" si="2"/>
        <v>5.4017655493382764</v>
      </c>
      <c r="Z13" s="27">
        <f t="shared" si="2"/>
        <v>5.0476858720547337</v>
      </c>
      <c r="AA13" s="27">
        <f t="shared" si="2"/>
        <v>4.6997716680310484</v>
      </c>
      <c r="AB13" s="27">
        <f t="shared" si="2"/>
        <v>4.3595980126189193</v>
      </c>
      <c r="AC13" s="27">
        <f t="shared" si="2"/>
        <v>4.0283201259084471</v>
      </c>
      <c r="AD13" s="27">
        <f t="shared" si="2"/>
        <v>3.7067928315630403</v>
      </c>
      <c r="AE13" s="27">
        <f t="shared" si="2"/>
        <v>3.3956788596785552</v>
      </c>
      <c r="AF13" s="27">
        <f t="shared" si="2"/>
        <v>3.0955424387354942</v>
      </c>
      <c r="AG13" s="27">
        <f t="shared" si="2"/>
        <v>2.8069244524264221</v>
      </c>
    </row>
    <row r="14" spans="1:33">
      <c r="B14" s="26">
        <f>y_half-(8)*(2*y_half)/(25-1)</f>
        <v>50</v>
      </c>
      <c r="C14" s="27">
        <f t="shared" si="0"/>
        <v>3.1</v>
      </c>
      <c r="D14" s="27">
        <f t="shared" si="0"/>
        <v>4.8703169251776179</v>
      </c>
      <c r="E14" s="27">
        <f t="shared" si="0"/>
        <v>7.4938077485824897</v>
      </c>
      <c r="F14" s="27">
        <f t="shared" si="0"/>
        <v>9.5222844580108372</v>
      </c>
      <c r="G14" s="27">
        <f t="shared" si="0"/>
        <v>11.045991854190776</v>
      </c>
      <c r="H14" s="27">
        <f t="shared" si="0"/>
        <v>12.144418634137605</v>
      </c>
      <c r="I14" s="27">
        <f t="shared" si="0"/>
        <v>12.887169103867818</v>
      </c>
      <c r="J14" s="27">
        <f t="shared" si="0"/>
        <v>13.334843128549851</v>
      </c>
      <c r="K14" s="27">
        <f t="shared" si="0"/>
        <v>13.539894779524642</v>
      </c>
      <c r="L14" s="27">
        <f t="shared" si="0"/>
        <v>13.547466223131128</v>
      </c>
      <c r="M14" s="27">
        <f t="shared" si="1"/>
        <v>13.39619710137098</v>
      </c>
      <c r="N14" s="27">
        <f t="shared" si="1"/>
        <v>13.118997591858099</v>
      </c>
      <c r="O14" s="27">
        <f t="shared" si="1"/>
        <v>12.743766747301953</v>
      </c>
      <c r="P14" s="27">
        <f t="shared" si="1"/>
        <v>12.29404177894528</v>
      </c>
      <c r="Q14" s="27">
        <f t="shared" si="1"/>
        <v>11.789572655591558</v>
      </c>
      <c r="R14" s="27">
        <f t="shared" si="1"/>
        <v>11.246824106150269</v>
      </c>
      <c r="S14" s="27">
        <f t="shared" si="1"/>
        <v>10.679411817921942</v>
      </c>
      <c r="T14" s="27">
        <f t="shared" si="1"/>
        <v>10.098481611486156</v>
      </c>
      <c r="U14" s="27">
        <f t="shared" si="1"/>
        <v>9.5130406383548234</v>
      </c>
      <c r="V14" s="27">
        <f t="shared" si="1"/>
        <v>8.9302490548605125</v>
      </c>
      <c r="W14" s="27">
        <f t="shared" si="2"/>
        <v>8.3556796961593154</v>
      </c>
      <c r="X14" s="27">
        <f t="shared" si="2"/>
        <v>7.7935522322512476</v>
      </c>
      <c r="Y14" s="27">
        <f t="shared" si="2"/>
        <v>7.2469471760215347</v>
      </c>
      <c r="Z14" s="27">
        <f t="shared" si="2"/>
        <v>6.7180038959881037</v>
      </c>
      <c r="AA14" s="27">
        <f t="shared" si="2"/>
        <v>6.2081054251123291</v>
      </c>
      <c r="AB14" s="27">
        <f t="shared" si="2"/>
        <v>5.7180513565599904</v>
      </c>
      <c r="AC14" s="27">
        <f t="shared" si="2"/>
        <v>5.248218548507376</v>
      </c>
      <c r="AD14" s="27">
        <f t="shared" si="2"/>
        <v>4.7987078612075731</v>
      </c>
      <c r="AE14" s="27">
        <f t="shared" si="2"/>
        <v>4.3694739089207646</v>
      </c>
      <c r="AF14" s="27">
        <f t="shared" si="2"/>
        <v>3.9604340326518734</v>
      </c>
      <c r="AG14" s="27">
        <f t="shared" si="2"/>
        <v>3.571552567135027</v>
      </c>
    </row>
    <row r="15" spans="1:33">
      <c r="B15" s="26">
        <f>y_half-(9)*(2*y_half)/(25-1)</f>
        <v>37.5</v>
      </c>
      <c r="C15" s="27">
        <f t="shared" si="0"/>
        <v>3.1</v>
      </c>
      <c r="D15" s="27">
        <f t="shared" si="0"/>
        <v>9.1427959420330804</v>
      </c>
      <c r="E15" s="27">
        <f t="shared" si="0"/>
        <v>12.925753727798151</v>
      </c>
      <c r="F15" s="27">
        <f t="shared" si="0"/>
        <v>15.493638387633805</v>
      </c>
      <c r="G15" s="27">
        <f t="shared" si="0"/>
        <v>17.228282468352663</v>
      </c>
      <c r="H15" s="27">
        <f t="shared" si="0"/>
        <v>18.337202706500545</v>
      </c>
      <c r="I15" s="27">
        <f t="shared" si="0"/>
        <v>18.961350276764254</v>
      </c>
      <c r="J15" s="27">
        <f t="shared" si="0"/>
        <v>19.205962478792131</v>
      </c>
      <c r="K15" s="27">
        <f t="shared" si="0"/>
        <v>19.1532210761101</v>
      </c>
      <c r="L15" s="27">
        <f t="shared" si="0"/>
        <v>18.868833332555731</v>
      </c>
      <c r="M15" s="27">
        <f t="shared" si="1"/>
        <v>18.406048688467724</v>
      </c>
      <c r="N15" s="27">
        <f t="shared" si="1"/>
        <v>17.80836074459733</v>
      </c>
      <c r="O15" s="27">
        <f t="shared" si="1"/>
        <v>17.111430841065211</v>
      </c>
      <c r="P15" s="27">
        <f t="shared" si="1"/>
        <v>16.344510655850986</v>
      </c>
      <c r="Q15" s="27">
        <f t="shared" si="1"/>
        <v>15.531528285443313</v>
      </c>
      <c r="R15" s="27">
        <f t="shared" si="1"/>
        <v>14.691942249100334</v>
      </c>
      <c r="S15" s="27">
        <f t="shared" si="1"/>
        <v>13.841431533473775</v>
      </c>
      <c r="T15" s="27">
        <f t="shared" si="1"/>
        <v>12.992466681029905</v>
      </c>
      <c r="U15" s="27">
        <f t="shared" si="1"/>
        <v>12.154792157576322</v>
      </c>
      <c r="V15" s="27">
        <f t="shared" si="1"/>
        <v>11.335840896681926</v>
      </c>
      <c r="W15" s="27">
        <f t="shared" si="2"/>
        <v>10.541096031460198</v>
      </c>
      <c r="X15" s="27">
        <f t="shared" si="2"/>
        <v>9.774411007236198</v>
      </c>
      <c r="Y15" s="27">
        <f t="shared" si="2"/>
        <v>9.0382965807159312</v>
      </c>
      <c r="Z15" s="27">
        <f t="shared" si="2"/>
        <v>8.3341810430782708</v>
      </c>
      <c r="AA15" s="27">
        <f t="shared" si="2"/>
        <v>7.6626480030688073</v>
      </c>
      <c r="AB15" s="27">
        <f t="shared" si="2"/>
        <v>7.0236540811211743</v>
      </c>
      <c r="AC15" s="27">
        <f t="shared" si="2"/>
        <v>6.4167269058717462</v>
      </c>
      <c r="AD15" s="27">
        <f t="shared" si="2"/>
        <v>5.8411419985802615</v>
      </c>
      <c r="AE15" s="27">
        <f t="shared" si="2"/>
        <v>5.2960756817289321</v>
      </c>
      <c r="AF15" s="27">
        <f t="shared" si="2"/>
        <v>4.7807302808682879</v>
      </c>
      <c r="AG15" s="27">
        <f t="shared" si="2"/>
        <v>4.2944277956738226</v>
      </c>
    </row>
    <row r="16" spans="1:33">
      <c r="B16" s="26">
        <f>y_half-(10)*(2*y_half)/(25-1)</f>
        <v>25</v>
      </c>
      <c r="C16" s="27">
        <f t="shared" ref="C16:L30" si="3">IF(C$4&lt;=0,IF(ABS($B16)&lt;=Y_src/2,C0_4,0),C$5*(IF(C$4&lt;=0,0,ERF(($B16+Y_src/2)/(2*SQRT(a_T*C$4)))-ERF(($B16-Y_src/2)/(2*SQRT(a_T*C$4))))))</f>
        <v>3.1</v>
      </c>
      <c r="D16" s="27">
        <f t="shared" si="3"/>
        <v>9.7307752384790795</v>
      </c>
      <c r="E16" s="27">
        <f t="shared" si="3"/>
        <v>14.769802936156511</v>
      </c>
      <c r="F16" s="27">
        <f t="shared" si="3"/>
        <v>18.332910522155188</v>
      </c>
      <c r="G16" s="27">
        <f t="shared" si="3"/>
        <v>20.73603307211593</v>
      </c>
      <c r="H16" s="27">
        <f t="shared" si="3"/>
        <v>22.254649167235527</v>
      </c>
      <c r="I16" s="27">
        <f t="shared" si="3"/>
        <v>23.096626004192796</v>
      </c>
      <c r="J16" s="27">
        <f t="shared" si="3"/>
        <v>23.418473126210809</v>
      </c>
      <c r="K16" s="27">
        <f t="shared" si="3"/>
        <v>23.340328612510834</v>
      </c>
      <c r="L16" s="27">
        <f t="shared" si="3"/>
        <v>22.956283270917293</v>
      </c>
      <c r="M16" s="27">
        <f t="shared" ref="M16:V30" si="4">IF(M$4&lt;=0,IF(ABS($B16)&lt;=Y_src/2,C0_4,0),M$5*(IF(M$4&lt;=0,0,ERF(($B16+Y_src/2)/(2*SQRT(a_T*M$4)))-ERF(($B16-Y_src/2)/(2*SQRT(a_T*M$4))))))</f>
        <v>22.341200354519984</v>
      </c>
      <c r="N16" s="27">
        <f t="shared" si="4"/>
        <v>21.555256132168541</v>
      </c>
      <c r="O16" s="27">
        <f t="shared" si="4"/>
        <v>20.647056787682487</v>
      </c>
      <c r="P16" s="27">
        <f t="shared" si="4"/>
        <v>19.655871290617608</v>
      </c>
      <c r="Q16" s="27">
        <f t="shared" si="4"/>
        <v>18.613305463614406</v>
      </c>
      <c r="R16" s="27">
        <f t="shared" si="4"/>
        <v>17.544609476953074</v>
      </c>
      <c r="S16" s="27">
        <f t="shared" si="4"/>
        <v>16.469732609215889</v>
      </c>
      <c r="T16" s="27">
        <f t="shared" si="4"/>
        <v>15.404194319068669</v>
      </c>
      <c r="U16" s="27">
        <f t="shared" si="4"/>
        <v>14.359815511542573</v>
      </c>
      <c r="V16" s="27">
        <f t="shared" si="4"/>
        <v>13.345339778767055</v>
      </c>
      <c r="W16" s="27">
        <f t="shared" ref="W16:AG30" si="5">IF(W$4&lt;=0,IF(ABS($B16)&lt;=Y_src/2,C0_4,0),W$5*(IF(W$4&lt;=0,0,ERF(($B16+Y_src/2)/(2*SQRT(a_T*W$4)))-ERF(($B16-Y_src/2)/(2*SQRT(a_T*W$4))))))</f>
        <v>12.366966310378929</v>
      </c>
      <c r="X16" s="27">
        <f t="shared" si="5"/>
        <v>11.428811213661428</v>
      </c>
      <c r="Y16" s="27">
        <f t="shared" si="5"/>
        <v>10.533310532242398</v>
      </c>
      <c r="Z16" s="27">
        <f t="shared" si="5"/>
        <v>9.6815754192878991</v>
      </c>
      <c r="AA16" s="27">
        <f t="shared" si="5"/>
        <v>8.8737072673112394</v>
      </c>
      <c r="AB16" s="27">
        <f t="shared" si="5"/>
        <v>8.109077967747929</v>
      </c>
      <c r="AC16" s="27">
        <f t="shared" si="5"/>
        <v>7.3865779071253979</v>
      </c>
      <c r="AD16" s="27">
        <f t="shared" si="5"/>
        <v>6.7048319688643607</v>
      </c>
      <c r="AE16" s="27">
        <f t="shared" si="5"/>
        <v>6.0623819376484569</v>
      </c>
      <c r="AF16" s="27">
        <f t="shared" si="5"/>
        <v>5.4578325465065189</v>
      </c>
      <c r="AG16" s="27">
        <f t="shared" si="5"/>
        <v>4.8899581666626712</v>
      </c>
    </row>
    <row r="17" spans="2:33">
      <c r="B17" s="26">
        <f>y_half-(11)*(2*y_half)/(25-1)</f>
        <v>12.5</v>
      </c>
      <c r="C17" s="27">
        <f t="shared" si="3"/>
        <v>3.1</v>
      </c>
      <c r="D17" s="27">
        <f t="shared" si="3"/>
        <v>9.7406160397685753</v>
      </c>
      <c r="E17" s="27">
        <f t="shared" si="3"/>
        <v>14.97966591619284</v>
      </c>
      <c r="F17" s="27">
        <f t="shared" si="3"/>
        <v>18.972930093376586</v>
      </c>
      <c r="G17" s="27">
        <f t="shared" si="3"/>
        <v>21.8630270314871</v>
      </c>
      <c r="H17" s="27">
        <f t="shared" si="3"/>
        <v>23.815745348471918</v>
      </c>
      <c r="I17" s="27">
        <f t="shared" si="3"/>
        <v>24.996421375743768</v>
      </c>
      <c r="J17" s="27">
        <f t="shared" si="3"/>
        <v>25.55414211431021</v>
      </c>
      <c r="K17" s="27">
        <f t="shared" si="3"/>
        <v>25.617684254473232</v>
      </c>
      <c r="L17" s="27">
        <f t="shared" si="3"/>
        <v>25.29604169520136</v>
      </c>
      <c r="M17" s="27">
        <f t="shared" si="4"/>
        <v>24.680307495503232</v>
      </c>
      <c r="N17" s="27">
        <f t="shared" si="4"/>
        <v>23.845848447816188</v>
      </c>
      <c r="O17" s="27">
        <f t="shared" si="4"/>
        <v>22.85443519850368</v>
      </c>
      <c r="P17" s="27">
        <f t="shared" si="4"/>
        <v>21.756212738850817</v>
      </c>
      <c r="Q17" s="27">
        <f t="shared" si="4"/>
        <v>20.591470621411904</v>
      </c>
      <c r="R17" s="27">
        <f t="shared" si="4"/>
        <v>19.392203297458479</v>
      </c>
      <c r="S17" s="27">
        <f t="shared" si="4"/>
        <v>18.183466793016883</v>
      </c>
      <c r="T17" s="27">
        <f t="shared" si="4"/>
        <v>16.984546655638724</v>
      </c>
      <c r="U17" s="27">
        <f t="shared" si="4"/>
        <v>15.809956641212601</v>
      </c>
      <c r="V17" s="27">
        <f t="shared" si="4"/>
        <v>14.670289439247894</v>
      </c>
      <c r="W17" s="27">
        <f t="shared" si="5"/>
        <v>13.572940757516584</v>
      </c>
      <c r="X17" s="27">
        <f t="shared" si="5"/>
        <v>12.522726881584827</v>
      </c>
      <c r="Y17" s="27">
        <f t="shared" si="5"/>
        <v>11.522413761658781</v>
      </c>
      <c r="Z17" s="27">
        <f t="shared" si="5"/>
        <v>10.573173005543074</v>
      </c>
      <c r="AA17" s="27">
        <f t="shared" si="5"/>
        <v>9.674977068215215</v>
      </c>
      <c r="AB17" s="27">
        <f t="shared" si="5"/>
        <v>8.8269426235703214</v>
      </c>
      <c r="AC17" s="27">
        <f t="shared" si="5"/>
        <v>8.0276278136656067</v>
      </c>
      <c r="AD17" s="27">
        <f t="shared" si="5"/>
        <v>7.2752860661839271</v>
      </c>
      <c r="AE17" s="27">
        <f t="shared" si="5"/>
        <v>6.5680767436871275</v>
      </c>
      <c r="AF17" s="27">
        <f t="shared" si="5"/>
        <v>5.904231312374181</v>
      </c>
      <c r="AG17" s="27">
        <f t="shared" si="5"/>
        <v>5.2821731984120106</v>
      </c>
    </row>
    <row r="18" spans="2:33">
      <c r="B18" s="26">
        <f>y_half-(12)*(2*y_half)/(25-1)</f>
        <v>0</v>
      </c>
      <c r="C18" s="27">
        <f t="shared" si="3"/>
        <v>3.1</v>
      </c>
      <c r="D18" s="27">
        <f t="shared" si="3"/>
        <v>9.740633843841195</v>
      </c>
      <c r="E18" s="27">
        <f t="shared" si="3"/>
        <v>14.987425135430431</v>
      </c>
      <c r="F18" s="27">
        <f t="shared" si="3"/>
        <v>19.037617263175637</v>
      </c>
      <c r="G18" s="27">
        <f t="shared" si="3"/>
        <v>22.047264601905955</v>
      </c>
      <c r="H18" s="27">
        <f t="shared" si="3"/>
        <v>24.148783625584453</v>
      </c>
      <c r="I18" s="27">
        <f t="shared" si="3"/>
        <v>25.47208467875091</v>
      </c>
      <c r="J18" s="27">
        <f t="shared" si="3"/>
        <v>26.146164839661193</v>
      </c>
      <c r="K18" s="27">
        <f t="shared" si="3"/>
        <v>26.293031223652111</v>
      </c>
      <c r="L18" s="27">
        <f t="shared" si="3"/>
        <v>26.02264726727579</v>
      </c>
      <c r="M18" s="27">
        <f t="shared" si="4"/>
        <v>25.430587563389199</v>
      </c>
      <c r="N18" s="27">
        <f t="shared" si="4"/>
        <v>24.597759538768589</v>
      </c>
      <c r="O18" s="27">
        <f t="shared" si="4"/>
        <v>23.591308261720883</v>
      </c>
      <c r="P18" s="27">
        <f t="shared" si="4"/>
        <v>22.466068643683936</v>
      </c>
      <c r="Q18" s="27">
        <f t="shared" si="4"/>
        <v>21.26618579723155</v>
      </c>
      <c r="R18" s="27">
        <f t="shared" si="4"/>
        <v>20.026700666088441</v>
      </c>
      <c r="S18" s="27">
        <f t="shared" si="4"/>
        <v>18.775004315770904</v>
      </c>
      <c r="T18" s="27">
        <f t="shared" si="4"/>
        <v>17.532124175656264</v>
      </c>
      <c r="U18" s="27">
        <f t="shared" si="4"/>
        <v>16.3138375909971</v>
      </c>
      <c r="V18" s="27">
        <f t="shared" si="4"/>
        <v>15.131624123040673</v>
      </c>
      <c r="W18" s="27">
        <f t="shared" si="5"/>
        <v>13.993475125297998</v>
      </c>
      <c r="X18" s="27">
        <f t="shared" si="5"/>
        <v>12.904581198492089</v>
      </c>
      <c r="Y18" s="27">
        <f t="shared" si="5"/>
        <v>11.867917395383325</v>
      </c>
      <c r="Z18" s="27">
        <f t="shared" si="5"/>
        <v>10.884743736410138</v>
      </c>
      <c r="AA18" s="27">
        <f t="shared" si="5"/>
        <v>9.9550354184408878</v>
      </c>
      <c r="AB18" s="27">
        <f t="shared" si="5"/>
        <v>9.077853516643005</v>
      </c>
      <c r="AC18" s="27">
        <f t="shared" si="5"/>
        <v>8.2516633607699816</v>
      </c>
      <c r="AD18" s="27">
        <f t="shared" si="5"/>
        <v>7.4746044502586733</v>
      </c>
      <c r="AE18" s="27">
        <f t="shared" si="5"/>
        <v>6.7447130806524758</v>
      </c>
      <c r="AF18" s="27">
        <f t="shared" si="5"/>
        <v>6.0600970729392323</v>
      </c>
      <c r="AG18" s="27">
        <f t="shared" si="5"/>
        <v>5.4190613333585231</v>
      </c>
    </row>
    <row r="19" spans="2:33">
      <c r="B19" s="26">
        <f>y_half-(13)*(2*y_half)/(25-1)</f>
        <v>-12.5</v>
      </c>
      <c r="C19" s="27">
        <f t="shared" si="3"/>
        <v>3.1</v>
      </c>
      <c r="D19" s="27">
        <f t="shared" si="3"/>
        <v>9.7406160397685753</v>
      </c>
      <c r="E19" s="27">
        <f t="shared" si="3"/>
        <v>14.97966591619284</v>
      </c>
      <c r="F19" s="27">
        <f t="shared" si="3"/>
        <v>18.972930093376586</v>
      </c>
      <c r="G19" s="27">
        <f t="shared" si="3"/>
        <v>21.8630270314871</v>
      </c>
      <c r="H19" s="27">
        <f t="shared" si="3"/>
        <v>23.815745348471918</v>
      </c>
      <c r="I19" s="27">
        <f t="shared" si="3"/>
        <v>24.996421375743768</v>
      </c>
      <c r="J19" s="27">
        <f t="shared" si="3"/>
        <v>25.55414211431021</v>
      </c>
      <c r="K19" s="27">
        <f t="shared" si="3"/>
        <v>25.617684254473232</v>
      </c>
      <c r="L19" s="27">
        <f t="shared" si="3"/>
        <v>25.29604169520136</v>
      </c>
      <c r="M19" s="27">
        <f t="shared" si="4"/>
        <v>24.680307495503232</v>
      </c>
      <c r="N19" s="27">
        <f t="shared" si="4"/>
        <v>23.845848447816188</v>
      </c>
      <c r="O19" s="27">
        <f t="shared" si="4"/>
        <v>22.85443519850368</v>
      </c>
      <c r="P19" s="27">
        <f t="shared" si="4"/>
        <v>21.756212738850817</v>
      </c>
      <c r="Q19" s="27">
        <f t="shared" si="4"/>
        <v>20.591470621411904</v>
      </c>
      <c r="R19" s="27">
        <f t="shared" si="4"/>
        <v>19.392203297458479</v>
      </c>
      <c r="S19" s="27">
        <f t="shared" si="4"/>
        <v>18.183466793016883</v>
      </c>
      <c r="T19" s="27">
        <f t="shared" si="4"/>
        <v>16.984546655638724</v>
      </c>
      <c r="U19" s="27">
        <f t="shared" si="4"/>
        <v>15.809956641212601</v>
      </c>
      <c r="V19" s="27">
        <f t="shared" si="4"/>
        <v>14.670289439247894</v>
      </c>
      <c r="W19" s="27">
        <f t="shared" si="5"/>
        <v>13.572940757516584</v>
      </c>
      <c r="X19" s="27">
        <f t="shared" si="5"/>
        <v>12.522726881584827</v>
      </c>
      <c r="Y19" s="27">
        <f t="shared" si="5"/>
        <v>11.522413761658781</v>
      </c>
      <c r="Z19" s="27">
        <f t="shared" si="5"/>
        <v>10.573173005543074</v>
      </c>
      <c r="AA19" s="27">
        <f t="shared" si="5"/>
        <v>9.674977068215215</v>
      </c>
      <c r="AB19" s="27">
        <f t="shared" si="5"/>
        <v>8.8269426235703214</v>
      </c>
      <c r="AC19" s="27">
        <f t="shared" si="5"/>
        <v>8.0276278136656067</v>
      </c>
      <c r="AD19" s="27">
        <f t="shared" si="5"/>
        <v>7.2752860661839271</v>
      </c>
      <c r="AE19" s="27">
        <f t="shared" si="5"/>
        <v>6.5680767436871275</v>
      </c>
      <c r="AF19" s="27">
        <f t="shared" si="5"/>
        <v>5.904231312374181</v>
      </c>
      <c r="AG19" s="27">
        <f t="shared" si="5"/>
        <v>5.2821731984120106</v>
      </c>
    </row>
    <row r="20" spans="2:33">
      <c r="B20" s="26">
        <f>y_half-(14)*(2*y_half)/(25-1)</f>
        <v>-25</v>
      </c>
      <c r="C20" s="27">
        <f t="shared" si="3"/>
        <v>3.1</v>
      </c>
      <c r="D20" s="27">
        <f t="shared" si="3"/>
        <v>9.7307752384790795</v>
      </c>
      <c r="E20" s="27">
        <f t="shared" si="3"/>
        <v>14.769802936156511</v>
      </c>
      <c r="F20" s="27">
        <f t="shared" si="3"/>
        <v>18.332910522155188</v>
      </c>
      <c r="G20" s="27">
        <f t="shared" si="3"/>
        <v>20.73603307211593</v>
      </c>
      <c r="H20" s="27">
        <f t="shared" si="3"/>
        <v>22.254649167235527</v>
      </c>
      <c r="I20" s="27">
        <f t="shared" si="3"/>
        <v>23.096626004192796</v>
      </c>
      <c r="J20" s="27">
        <f t="shared" si="3"/>
        <v>23.418473126210809</v>
      </c>
      <c r="K20" s="27">
        <f t="shared" si="3"/>
        <v>23.340328612510834</v>
      </c>
      <c r="L20" s="27">
        <f t="shared" si="3"/>
        <v>22.956283270917293</v>
      </c>
      <c r="M20" s="27">
        <f t="shared" si="4"/>
        <v>22.341200354519984</v>
      </c>
      <c r="N20" s="27">
        <f t="shared" si="4"/>
        <v>21.555256132168541</v>
      </c>
      <c r="O20" s="27">
        <f t="shared" si="4"/>
        <v>20.647056787682487</v>
      </c>
      <c r="P20" s="27">
        <f t="shared" si="4"/>
        <v>19.655871290617608</v>
      </c>
      <c r="Q20" s="27">
        <f t="shared" si="4"/>
        <v>18.613305463614406</v>
      </c>
      <c r="R20" s="27">
        <f t="shared" si="4"/>
        <v>17.544609476953074</v>
      </c>
      <c r="S20" s="27">
        <f t="shared" si="4"/>
        <v>16.469732609215889</v>
      </c>
      <c r="T20" s="27">
        <f t="shared" si="4"/>
        <v>15.404194319068669</v>
      </c>
      <c r="U20" s="27">
        <f t="shared" si="4"/>
        <v>14.359815511542573</v>
      </c>
      <c r="V20" s="27">
        <f t="shared" si="4"/>
        <v>13.345339778767055</v>
      </c>
      <c r="W20" s="27">
        <f t="shared" si="5"/>
        <v>12.366966310378929</v>
      </c>
      <c r="X20" s="27">
        <f t="shared" si="5"/>
        <v>11.428811213661428</v>
      </c>
      <c r="Y20" s="27">
        <f t="shared" si="5"/>
        <v>10.533310532242398</v>
      </c>
      <c r="Z20" s="27">
        <f t="shared" si="5"/>
        <v>9.6815754192878991</v>
      </c>
      <c r="AA20" s="27">
        <f t="shared" si="5"/>
        <v>8.8737072673112394</v>
      </c>
      <c r="AB20" s="27">
        <f t="shared" si="5"/>
        <v>8.109077967747929</v>
      </c>
      <c r="AC20" s="27">
        <f t="shared" si="5"/>
        <v>7.3865779071253979</v>
      </c>
      <c r="AD20" s="27">
        <f t="shared" si="5"/>
        <v>6.7048319688643607</v>
      </c>
      <c r="AE20" s="27">
        <f t="shared" si="5"/>
        <v>6.0623819376484569</v>
      </c>
      <c r="AF20" s="27">
        <f t="shared" si="5"/>
        <v>5.4578325465065189</v>
      </c>
      <c r="AG20" s="27">
        <f t="shared" si="5"/>
        <v>4.8899581666626712</v>
      </c>
    </row>
    <row r="21" spans="2:33">
      <c r="B21" s="26">
        <f>y_half-(15)*(2*y_half)/(25-1)</f>
        <v>-37.5</v>
      </c>
      <c r="C21" s="27">
        <f t="shared" si="3"/>
        <v>3.1</v>
      </c>
      <c r="D21" s="27">
        <f t="shared" si="3"/>
        <v>9.1427959420330804</v>
      </c>
      <c r="E21" s="27">
        <f t="shared" si="3"/>
        <v>12.925753727798151</v>
      </c>
      <c r="F21" s="27">
        <f t="shared" si="3"/>
        <v>15.493638387633805</v>
      </c>
      <c r="G21" s="27">
        <f t="shared" si="3"/>
        <v>17.228282468352663</v>
      </c>
      <c r="H21" s="27">
        <f t="shared" si="3"/>
        <v>18.337202706500545</v>
      </c>
      <c r="I21" s="27">
        <f t="shared" si="3"/>
        <v>18.961350276764254</v>
      </c>
      <c r="J21" s="27">
        <f t="shared" si="3"/>
        <v>19.205962478792131</v>
      </c>
      <c r="K21" s="27">
        <f t="shared" si="3"/>
        <v>19.1532210761101</v>
      </c>
      <c r="L21" s="27">
        <f t="shared" si="3"/>
        <v>18.868833332555731</v>
      </c>
      <c r="M21" s="27">
        <f t="shared" si="4"/>
        <v>18.406048688467724</v>
      </c>
      <c r="N21" s="27">
        <f t="shared" si="4"/>
        <v>17.80836074459733</v>
      </c>
      <c r="O21" s="27">
        <f t="shared" si="4"/>
        <v>17.111430841065211</v>
      </c>
      <c r="P21" s="27">
        <f t="shared" si="4"/>
        <v>16.344510655850986</v>
      </c>
      <c r="Q21" s="27">
        <f t="shared" si="4"/>
        <v>15.531528285443313</v>
      </c>
      <c r="R21" s="27">
        <f t="shared" si="4"/>
        <v>14.691942249100334</v>
      </c>
      <c r="S21" s="27">
        <f t="shared" si="4"/>
        <v>13.841431533473775</v>
      </c>
      <c r="T21" s="27">
        <f t="shared" si="4"/>
        <v>12.992466681029905</v>
      </c>
      <c r="U21" s="27">
        <f t="shared" si="4"/>
        <v>12.154792157576322</v>
      </c>
      <c r="V21" s="27">
        <f t="shared" si="4"/>
        <v>11.335840896681926</v>
      </c>
      <c r="W21" s="27">
        <f t="shared" si="5"/>
        <v>10.541096031460198</v>
      </c>
      <c r="X21" s="27">
        <f t="shared" si="5"/>
        <v>9.774411007236198</v>
      </c>
      <c r="Y21" s="27">
        <f t="shared" si="5"/>
        <v>9.0382965807159312</v>
      </c>
      <c r="Z21" s="27">
        <f t="shared" si="5"/>
        <v>8.3341810430782708</v>
      </c>
      <c r="AA21" s="27">
        <f t="shared" si="5"/>
        <v>7.6626480030688073</v>
      </c>
      <c r="AB21" s="27">
        <f t="shared" si="5"/>
        <v>7.0236540811211743</v>
      </c>
      <c r="AC21" s="27">
        <f t="shared" si="5"/>
        <v>6.4167269058717462</v>
      </c>
      <c r="AD21" s="27">
        <f t="shared" si="5"/>
        <v>5.8411419985802615</v>
      </c>
      <c r="AE21" s="27">
        <f t="shared" si="5"/>
        <v>5.2960756817289321</v>
      </c>
      <c r="AF21" s="27">
        <f t="shared" si="5"/>
        <v>4.7807302808682879</v>
      </c>
      <c r="AG21" s="27">
        <f t="shared" si="5"/>
        <v>4.2944277956738226</v>
      </c>
    </row>
    <row r="22" spans="2:33">
      <c r="B22" s="26">
        <f>y_half-(16)*(2*y_half)/(25-1)</f>
        <v>-50</v>
      </c>
      <c r="C22" s="27">
        <f t="shared" si="3"/>
        <v>3.1</v>
      </c>
      <c r="D22" s="27">
        <f t="shared" si="3"/>
        <v>4.8703169251776179</v>
      </c>
      <c r="E22" s="27">
        <f t="shared" si="3"/>
        <v>7.4938077485824897</v>
      </c>
      <c r="F22" s="27">
        <f t="shared" si="3"/>
        <v>9.5222844580108372</v>
      </c>
      <c r="G22" s="27">
        <f t="shared" si="3"/>
        <v>11.045991854190776</v>
      </c>
      <c r="H22" s="27">
        <f t="shared" si="3"/>
        <v>12.144418634137605</v>
      </c>
      <c r="I22" s="27">
        <f t="shared" si="3"/>
        <v>12.887169103867818</v>
      </c>
      <c r="J22" s="27">
        <f t="shared" si="3"/>
        <v>13.334843128549851</v>
      </c>
      <c r="K22" s="27">
        <f t="shared" si="3"/>
        <v>13.539894779524642</v>
      </c>
      <c r="L22" s="27">
        <f t="shared" si="3"/>
        <v>13.547466223131128</v>
      </c>
      <c r="M22" s="27">
        <f t="shared" si="4"/>
        <v>13.39619710137098</v>
      </c>
      <c r="N22" s="27">
        <f t="shared" si="4"/>
        <v>13.118997591858099</v>
      </c>
      <c r="O22" s="27">
        <f t="shared" si="4"/>
        <v>12.743766747301953</v>
      </c>
      <c r="P22" s="27">
        <f t="shared" si="4"/>
        <v>12.29404177894528</v>
      </c>
      <c r="Q22" s="27">
        <f t="shared" si="4"/>
        <v>11.789572655591558</v>
      </c>
      <c r="R22" s="27">
        <f t="shared" si="4"/>
        <v>11.246824106150269</v>
      </c>
      <c r="S22" s="27">
        <f t="shared" si="4"/>
        <v>10.679411817921942</v>
      </c>
      <c r="T22" s="27">
        <f t="shared" si="4"/>
        <v>10.098481611486156</v>
      </c>
      <c r="U22" s="27">
        <f t="shared" si="4"/>
        <v>9.5130406383548234</v>
      </c>
      <c r="V22" s="27">
        <f t="shared" si="4"/>
        <v>8.9302490548605125</v>
      </c>
      <c r="W22" s="27">
        <f t="shared" si="5"/>
        <v>8.3556796961593154</v>
      </c>
      <c r="X22" s="27">
        <f t="shared" si="5"/>
        <v>7.7935522322512476</v>
      </c>
      <c r="Y22" s="27">
        <f t="shared" si="5"/>
        <v>7.2469471760215347</v>
      </c>
      <c r="Z22" s="27">
        <f t="shared" si="5"/>
        <v>6.7180038959881037</v>
      </c>
      <c r="AA22" s="27">
        <f t="shared" si="5"/>
        <v>6.2081054251123291</v>
      </c>
      <c r="AB22" s="27">
        <f t="shared" si="5"/>
        <v>5.7180513565599904</v>
      </c>
      <c r="AC22" s="27">
        <f t="shared" si="5"/>
        <v>5.248218548507376</v>
      </c>
      <c r="AD22" s="27">
        <f t="shared" si="5"/>
        <v>4.7987078612075731</v>
      </c>
      <c r="AE22" s="27">
        <f t="shared" si="5"/>
        <v>4.3694739089207646</v>
      </c>
      <c r="AF22" s="27">
        <f t="shared" si="5"/>
        <v>3.9604340326518734</v>
      </c>
      <c r="AG22" s="27">
        <f t="shared" si="5"/>
        <v>3.571552567135027</v>
      </c>
    </row>
    <row r="23" spans="2:33">
      <c r="B23" s="26">
        <f>y_half-(17)*(2*y_half)/(25-1)</f>
        <v>-62.5</v>
      </c>
      <c r="C23" s="27">
        <f t="shared" si="3"/>
        <v>0</v>
      </c>
      <c r="D23" s="27">
        <f t="shared" si="3"/>
        <v>0.59783790832215489</v>
      </c>
      <c r="E23" s="27">
        <f t="shared" si="3"/>
        <v>2.0618617693666659</v>
      </c>
      <c r="F23" s="27">
        <f t="shared" si="3"/>
        <v>3.5509305241675646</v>
      </c>
      <c r="G23" s="27">
        <f t="shared" si="3"/>
        <v>4.863700525371276</v>
      </c>
      <c r="H23" s="27">
        <f t="shared" si="3"/>
        <v>5.9516189047785222</v>
      </c>
      <c r="I23" s="27">
        <f t="shared" si="3"/>
        <v>6.8128667619434689</v>
      </c>
      <c r="J23" s="27">
        <f t="shared" si="3"/>
        <v>7.4632112474300385</v>
      </c>
      <c r="K23" s="27">
        <f t="shared" si="3"/>
        <v>7.9250898433181911</v>
      </c>
      <c r="L23" s="27">
        <f t="shared" si="3"/>
        <v>8.2228031739444472</v>
      </c>
      <c r="M23" s="27">
        <f t="shared" si="4"/>
        <v>8.3802224851418519</v>
      </c>
      <c r="N23" s="27">
        <f t="shared" si="4"/>
        <v>8.4196808244215759</v>
      </c>
      <c r="O23" s="27">
        <f t="shared" si="4"/>
        <v>8.3614722314758012</v>
      </c>
      <c r="P23" s="27">
        <f t="shared" si="4"/>
        <v>8.2236787659926005</v>
      </c>
      <c r="Q23" s="27">
        <f t="shared" si="4"/>
        <v>8.0221766056914312</v>
      </c>
      <c r="R23" s="27">
        <f t="shared" si="4"/>
        <v>7.770737757304591</v>
      </c>
      <c r="S23" s="27">
        <f t="shared" si="4"/>
        <v>7.4811794154834583</v>
      </c>
      <c r="T23" s="27">
        <f t="shared" si="4"/>
        <v>7.1635334915210773</v>
      </c>
      <c r="U23" s="27">
        <f t="shared" si="4"/>
        <v>6.8262210562233951</v>
      </c>
      <c r="V23" s="27">
        <f t="shared" si="4"/>
        <v>6.4762238205688236</v>
      </c>
      <c r="W23" s="27">
        <f t="shared" si="5"/>
        <v>6.1192492001872472</v>
      </c>
      <c r="X23" s="27">
        <f t="shared" si="5"/>
        <v>5.7598880603582128</v>
      </c>
      <c r="Y23" s="27">
        <f t="shared" si="5"/>
        <v>5.4017655493382764</v>
      </c>
      <c r="Z23" s="27">
        <f t="shared" si="5"/>
        <v>5.0476858720547337</v>
      </c>
      <c r="AA23" s="27">
        <f t="shared" si="5"/>
        <v>4.6997716680310484</v>
      </c>
      <c r="AB23" s="27">
        <f t="shared" si="5"/>
        <v>4.3595980126189193</v>
      </c>
      <c r="AC23" s="27">
        <f t="shared" si="5"/>
        <v>4.0283201259084471</v>
      </c>
      <c r="AD23" s="27">
        <f t="shared" si="5"/>
        <v>3.7067928315630403</v>
      </c>
      <c r="AE23" s="27">
        <f t="shared" si="5"/>
        <v>3.3956788596785552</v>
      </c>
      <c r="AF23" s="27">
        <f t="shared" si="5"/>
        <v>3.0955424387354942</v>
      </c>
      <c r="AG23" s="27">
        <f t="shared" si="5"/>
        <v>2.8069244524264221</v>
      </c>
    </row>
    <row r="24" spans="2:33">
      <c r="B24" s="26">
        <f>y_half-(18)*(2*y_half)/(25-1)</f>
        <v>-75</v>
      </c>
      <c r="C24" s="27">
        <f t="shared" si="3"/>
        <v>0</v>
      </c>
      <c r="D24" s="27">
        <f t="shared" si="3"/>
        <v>9.8586118761562341E-3</v>
      </c>
      <c r="E24" s="27">
        <f t="shared" si="3"/>
        <v>0.21781256057085055</v>
      </c>
      <c r="F24" s="27">
        <f t="shared" si="3"/>
        <v>0.71165753879897453</v>
      </c>
      <c r="G24" s="27">
        <f t="shared" si="3"/>
        <v>1.3559102562155589</v>
      </c>
      <c r="H24" s="27">
        <f t="shared" si="3"/>
        <v>2.033769302667066</v>
      </c>
      <c r="I24" s="27">
        <f t="shared" si="3"/>
        <v>2.6757060532208725</v>
      </c>
      <c r="J24" s="27">
        <f t="shared" si="3"/>
        <v>3.2450891224230833</v>
      </c>
      <c r="K24" s="27">
        <f t="shared" si="3"/>
        <v>3.7254413252761016</v>
      </c>
      <c r="L24" s="27">
        <f t="shared" si="3"/>
        <v>4.112268023025762</v>
      </c>
      <c r="M24" s="27">
        <f t="shared" si="4"/>
        <v>4.408043751915077</v>
      </c>
      <c r="N24" s="27">
        <f t="shared" si="4"/>
        <v>4.6191313631953879</v>
      </c>
      <c r="O24" s="27">
        <f t="shared" si="4"/>
        <v>4.7538736208244279</v>
      </c>
      <c r="P24" s="27">
        <f t="shared" si="4"/>
        <v>4.8214075577715034</v>
      </c>
      <c r="Q24" s="27">
        <f t="shared" si="4"/>
        <v>4.8309329340430205</v>
      </c>
      <c r="R24" s="27">
        <f t="shared" si="4"/>
        <v>4.7912704124175063</v>
      </c>
      <c r="S24" s="27">
        <f t="shared" si="4"/>
        <v>4.7106064007695814</v>
      </c>
      <c r="T24" s="27">
        <f t="shared" si="4"/>
        <v>4.5963587323052533</v>
      </c>
      <c r="U24" s="27">
        <f t="shared" si="4"/>
        <v>4.455120662346495</v>
      </c>
      <c r="V24" s="27">
        <f t="shared" si="4"/>
        <v>4.2926556353797709</v>
      </c>
      <c r="W24" s="27">
        <f t="shared" si="5"/>
        <v>4.1139250622449195</v>
      </c>
      <c r="X24" s="27">
        <f t="shared" si="5"/>
        <v>3.9231377727729591</v>
      </c>
      <c r="Y24" s="27">
        <f t="shared" si="5"/>
        <v>3.723813970779184</v>
      </c>
      <c r="Z24" s="27">
        <f t="shared" si="5"/>
        <v>3.5188590960535406</v>
      </c>
      <c r="AA24" s="27">
        <f t="shared" si="5"/>
        <v>3.3106444344245745</v>
      </c>
      <c r="AB24" s="27">
        <f t="shared" si="5"/>
        <v>3.1010919259005352</v>
      </c>
      <c r="AC24" s="27">
        <f t="shared" si="5"/>
        <v>2.891760654439691</v>
      </c>
      <c r="AD24" s="27">
        <f t="shared" si="5"/>
        <v>2.6839321901219808</v>
      </c>
      <c r="AE24" s="27">
        <f t="shared" si="5"/>
        <v>2.4786915175266739</v>
      </c>
      <c r="AF24" s="27">
        <f t="shared" si="5"/>
        <v>2.2769999360011219</v>
      </c>
      <c r="AG24" s="27">
        <f t="shared" si="5"/>
        <v>2.0797562461143104</v>
      </c>
    </row>
    <row r="25" spans="2:33">
      <c r="B25" s="26">
        <f>y_half-(19)*(2*y_half)/(25-1)</f>
        <v>-87.5</v>
      </c>
      <c r="C25" s="27">
        <f t="shared" si="3"/>
        <v>0</v>
      </c>
      <c r="D25" s="27">
        <f t="shared" si="3"/>
        <v>1.7810586603022247E-5</v>
      </c>
      <c r="E25" s="27">
        <f t="shared" si="3"/>
        <v>7.9492170371093622E-3</v>
      </c>
      <c r="F25" s="27">
        <f t="shared" si="3"/>
        <v>7.1559012628265889E-2</v>
      </c>
      <c r="G25" s="27">
        <f t="shared" si="3"/>
        <v>0.22769557415000011</v>
      </c>
      <c r="H25" s="27">
        <f t="shared" si="3"/>
        <v>0.46630954079748965</v>
      </c>
      <c r="I25" s="27">
        <f t="shared" si="3"/>
        <v>0.75690973762460889</v>
      </c>
      <c r="J25" s="27">
        <f t="shared" si="3"/>
        <v>1.0684400018740161</v>
      </c>
      <c r="K25" s="27">
        <f t="shared" si="3"/>
        <v>1.3762360808147929</v>
      </c>
      <c r="L25" s="27">
        <f t="shared" si="3"/>
        <v>1.6630336077975678</v>
      </c>
      <c r="M25" s="27">
        <f t="shared" si="4"/>
        <v>1.9179623111088699</v>
      </c>
      <c r="N25" s="27">
        <f t="shared" si="4"/>
        <v>2.1350985985135793</v>
      </c>
      <c r="O25" s="27">
        <f t="shared" si="4"/>
        <v>2.3121182642996367</v>
      </c>
      <c r="P25" s="27">
        <f t="shared" si="4"/>
        <v>2.4491959055921479</v>
      </c>
      <c r="Q25" s="27">
        <f t="shared" si="4"/>
        <v>2.5481574530633408</v>
      </c>
      <c r="R25" s="27">
        <f t="shared" si="4"/>
        <v>2.6118491333081333</v>
      </c>
      <c r="S25" s="27">
        <f t="shared" si="4"/>
        <v>2.6436785682602006</v>
      </c>
      <c r="T25" s="27">
        <f t="shared" si="4"/>
        <v>2.6472880207549432</v>
      </c>
      <c r="U25" s="27">
        <f t="shared" si="4"/>
        <v>2.6263271880536543</v>
      </c>
      <c r="V25" s="27">
        <f t="shared" si="4"/>
        <v>2.5843002697878821</v>
      </c>
      <c r="W25" s="27">
        <f t="shared" si="5"/>
        <v>2.52446829575408</v>
      </c>
      <c r="X25" s="27">
        <f t="shared" si="5"/>
        <v>2.4497926928341522</v>
      </c>
      <c r="Y25" s="27">
        <f t="shared" si="5"/>
        <v>2.3629098725931037</v>
      </c>
      <c r="Z25" s="27">
        <f t="shared" si="5"/>
        <v>2.2661293820053268</v>
      </c>
      <c r="AA25" s="27">
        <f t="shared" si="5"/>
        <v>2.1614500404285133</v>
      </c>
      <c r="AB25" s="27">
        <f t="shared" si="5"/>
        <v>2.0505896442230225</v>
      </c>
      <c r="AC25" s="27">
        <f t="shared" si="5"/>
        <v>1.9350244146855708</v>
      </c>
      <c r="AD25" s="27">
        <f t="shared" si="5"/>
        <v>1.8160345607715074</v>
      </c>
      <c r="AE25" s="27">
        <f t="shared" si="5"/>
        <v>1.6947523000033795</v>
      </c>
      <c r="AF25" s="27">
        <f t="shared" si="5"/>
        <v>1.5722086064762932</v>
      </c>
      <c r="AG25" s="27">
        <f t="shared" si="5"/>
        <v>1.4493749999676133</v>
      </c>
    </row>
    <row r="26" spans="2:33">
      <c r="B26" s="26">
        <f>y_half-(20)*(2*y_half)/(25-1)</f>
        <v>-100</v>
      </c>
      <c r="C26" s="27">
        <f t="shared" si="3"/>
        <v>0</v>
      </c>
      <c r="D26" s="27">
        <f t="shared" si="3"/>
        <v>3.2570203874895526E-9</v>
      </c>
      <c r="E26" s="27">
        <f t="shared" si="3"/>
        <v>9.5180867273571434E-5</v>
      </c>
      <c r="F26" s="27">
        <f t="shared" si="3"/>
        <v>3.4758264326927154E-3</v>
      </c>
      <c r="G26" s="27">
        <f t="shared" si="3"/>
        <v>2.2359560624795334E-2</v>
      </c>
      <c r="H26" s="27">
        <f t="shared" si="3"/>
        <v>7.002722936367399E-2</v>
      </c>
      <c r="I26" s="27">
        <f t="shared" si="3"/>
        <v>0.15113274865039994</v>
      </c>
      <c r="J26" s="27">
        <f t="shared" si="3"/>
        <v>0.26180154662284122</v>
      </c>
      <c r="K26" s="27">
        <f t="shared" si="3"/>
        <v>0.39355114293662508</v>
      </c>
      <c r="L26" s="27">
        <f t="shared" si="3"/>
        <v>0.53666590407408432</v>
      </c>
      <c r="M26" s="27">
        <f t="shared" si="4"/>
        <v>0.6821690659805465</v>
      </c>
      <c r="N26" s="27">
        <f t="shared" si="4"/>
        <v>0.82270437995584755</v>
      </c>
      <c r="O26" s="27">
        <f t="shared" si="4"/>
        <v>0.95276490287763993</v>
      </c>
      <c r="P26" s="27">
        <f t="shared" si="4"/>
        <v>1.0685855427565352</v>
      </c>
      <c r="Q26" s="27">
        <f t="shared" si="4"/>
        <v>1.1678899853085087</v>
      </c>
      <c r="R26" s="27">
        <f t="shared" si="4"/>
        <v>1.2495960921562324</v>
      </c>
      <c r="S26" s="27">
        <f t="shared" si="4"/>
        <v>1.3135318945697794</v>
      </c>
      <c r="T26" s="27">
        <f t="shared" si="4"/>
        <v>1.3601851773517599</v>
      </c>
      <c r="U26" s="27">
        <f t="shared" si="4"/>
        <v>1.3904941765936838</v>
      </c>
      <c r="V26" s="27">
        <f t="shared" si="4"/>
        <v>1.4056792239432767</v>
      </c>
      <c r="W26" s="27">
        <f t="shared" si="5"/>
        <v>1.4071117593193203</v>
      </c>
      <c r="X26" s="27">
        <f t="shared" si="5"/>
        <v>1.3962159828424985</v>
      </c>
      <c r="Y26" s="27">
        <f t="shared" si="5"/>
        <v>1.3743983726303546</v>
      </c>
      <c r="Z26" s="27">
        <f t="shared" si="5"/>
        <v>1.3430007060163229</v>
      </c>
      <c r="AA26" s="27">
        <f t="shared" si="5"/>
        <v>1.3032727260852019</v>
      </c>
      <c r="AB26" s="27">
        <f t="shared" si="5"/>
        <v>1.2563610058638723</v>
      </c>
      <c r="AC26" s="27">
        <f t="shared" si="5"/>
        <v>1.2033108029784818</v>
      </c>
      <c r="AD26" s="27">
        <f t="shared" si="5"/>
        <v>1.1450777680078015</v>
      </c>
      <c r="AE26" s="27">
        <f t="shared" si="5"/>
        <v>1.0825463234893513</v>
      </c>
      <c r="AF26" s="27">
        <f t="shared" si="5"/>
        <v>1.0165514555676871</v>
      </c>
      <c r="AG26" s="27">
        <f t="shared" si="5"/>
        <v>0.94790065979039162</v>
      </c>
    </row>
    <row r="27" spans="2:33">
      <c r="B27" s="26">
        <f>y_half-(21)*(2*y_half)/(25-1)</f>
        <v>-112.5</v>
      </c>
      <c r="C27" s="27">
        <f t="shared" si="3"/>
        <v>0</v>
      </c>
      <c r="D27" s="27">
        <f t="shared" si="3"/>
        <v>5.8397090265580906E-14</v>
      </c>
      <c r="E27" s="27">
        <f t="shared" si="3"/>
        <v>3.6393502964125898E-7</v>
      </c>
      <c r="F27" s="27">
        <f t="shared" si="3"/>
        <v>7.9810036169689771E-5</v>
      </c>
      <c r="G27" s="27">
        <f t="shared" si="3"/>
        <v>1.2611175184461532E-3</v>
      </c>
      <c r="H27" s="27">
        <f t="shared" si="3"/>
        <v>6.7831950420167023E-3</v>
      </c>
      <c r="I27" s="27">
        <f t="shared" si="3"/>
        <v>2.1019062630380995E-2</v>
      </c>
      <c r="J27" s="27">
        <f t="shared" si="3"/>
        <v>4.7185814931713678E-2</v>
      </c>
      <c r="K27" s="27">
        <f t="shared" si="3"/>
        <v>8.62131494332007E-2</v>
      </c>
      <c r="L27" s="27">
        <f t="shared" si="3"/>
        <v>0.1369035838007174</v>
      </c>
      <c r="M27" s="27">
        <f t="shared" si="4"/>
        <v>0.19665494856382015</v>
      </c>
      <c r="N27" s="27">
        <f t="shared" si="4"/>
        <v>0.26221781205115591</v>
      </c>
      <c r="O27" s="27">
        <f t="shared" si="4"/>
        <v>0.33027463267760848</v>
      </c>
      <c r="P27" s="27">
        <f t="shared" si="4"/>
        <v>0.39780694384694376</v>
      </c>
      <c r="Q27" s="27">
        <f t="shared" si="4"/>
        <v>0.46228699266422757</v>
      </c>
      <c r="R27" s="27">
        <f t="shared" si="4"/>
        <v>0.52174542034995541</v>
      </c>
      <c r="S27" s="27">
        <f t="shared" si="4"/>
        <v>0.57476055330285558</v>
      </c>
      <c r="T27" s="27">
        <f t="shared" si="4"/>
        <v>0.62040343658129804</v>
      </c>
      <c r="U27" s="27">
        <f t="shared" si="4"/>
        <v>0.65816196286662809</v>
      </c>
      <c r="V27" s="27">
        <f t="shared" si="4"/>
        <v>0.68785906796412621</v>
      </c>
      <c r="W27" s="27">
        <f t="shared" si="5"/>
        <v>0.70957403245861572</v>
      </c>
      <c r="X27" s="27">
        <f t="shared" si="5"/>
        <v>0.72357197492496761</v>
      </c>
      <c r="Y27" s="27">
        <f t="shared" si="5"/>
        <v>0.73024409691185366</v>
      </c>
      <c r="Z27" s="27">
        <f t="shared" si="5"/>
        <v>0.73005967192476617</v>
      </c>
      <c r="AA27" s="27">
        <f t="shared" si="5"/>
        <v>0.7235297982837775</v>
      </c>
      <c r="AB27" s="27">
        <f t="shared" si="5"/>
        <v>0.71118230216811973</v>
      </c>
      <c r="AC27" s="27">
        <f t="shared" si="5"/>
        <v>0.69354671493070996</v>
      </c>
      <c r="AD27" s="27">
        <f t="shared" si="5"/>
        <v>0.67114786432415119</v>
      </c>
      <c r="AE27" s="27">
        <f t="shared" si="5"/>
        <v>0.64450627865333587</v>
      </c>
      <c r="AF27" s="27">
        <f t="shared" si="5"/>
        <v>0.61414331726263705</v>
      </c>
      <c r="AG27" s="27">
        <f t="shared" si="5"/>
        <v>0.58058875075688232</v>
      </c>
    </row>
    <row r="28" spans="2:33">
      <c r="B28" s="26">
        <f>y_half-(22)*(2*y_half)/(25-1)</f>
        <v>-125</v>
      </c>
      <c r="C28" s="27">
        <f t="shared" si="3"/>
        <v>0</v>
      </c>
      <c r="D28" s="27">
        <f t="shared" si="3"/>
        <v>0</v>
      </c>
      <c r="E28" s="27">
        <f t="shared" si="3"/>
        <v>4.3761637790272733E-10</v>
      </c>
      <c r="F28" s="27">
        <f t="shared" si="3"/>
        <v>8.5508686166804944E-7</v>
      </c>
      <c r="G28" s="27">
        <f t="shared" si="3"/>
        <v>4.0394823928164593E-5</v>
      </c>
      <c r="H28" s="27">
        <f t="shared" si="3"/>
        <v>4.1961434692805818E-4</v>
      </c>
      <c r="I28" s="27">
        <f t="shared" si="3"/>
        <v>2.0181148182815854E-3</v>
      </c>
      <c r="J28" s="27">
        <f t="shared" si="3"/>
        <v>6.2056118466521978E-3</v>
      </c>
      <c r="K28" s="27">
        <f t="shared" si="3"/>
        <v>1.4362915749337629E-2</v>
      </c>
      <c r="L28" s="27">
        <f t="shared" si="3"/>
        <v>2.7424164106092771E-2</v>
      </c>
      <c r="M28" s="27">
        <f t="shared" si="4"/>
        <v>4.5667533606249769E-2</v>
      </c>
      <c r="N28" s="27">
        <f t="shared" si="4"/>
        <v>6.8738557317901655E-2</v>
      </c>
      <c r="O28" s="27">
        <f t="shared" si="4"/>
        <v>9.5803093314286408E-2</v>
      </c>
      <c r="P28" s="27">
        <f t="shared" si="4"/>
        <v>0.12573826644696637</v>
      </c>
      <c r="Q28" s="27">
        <f t="shared" si="4"/>
        <v>0.15730678217368921</v>
      </c>
      <c r="R28" s="27">
        <f t="shared" si="4"/>
        <v>0.18929132584281502</v>
      </c>
      <c r="S28" s="27">
        <f t="shared" si="4"/>
        <v>0.22058491698800894</v>
      </c>
      <c r="T28" s="27">
        <f t="shared" si="4"/>
        <v>0.25024246672024786</v>
      </c>
      <c r="U28" s="27">
        <f t="shared" si="4"/>
        <v>0.2775021318692506</v>
      </c>
      <c r="V28" s="27">
        <f t="shared" si="4"/>
        <v>0.30178525929931782</v>
      </c>
      <c r="W28" s="27">
        <f t="shared" si="5"/>
        <v>0.32268255265824425</v>
      </c>
      <c r="X28" s="27">
        <f t="shared" si="5"/>
        <v>0.33993253441177379</v>
      </c>
      <c r="Y28" s="27">
        <f t="shared" si="5"/>
        <v>0.35339687032378481</v>
      </c>
      <c r="Z28" s="27">
        <f t="shared" si="5"/>
        <v>0.36303583851449001</v>
      </c>
      <c r="AA28" s="27">
        <f t="shared" si="5"/>
        <v>0.36888618392941841</v>
      </c>
      <c r="AB28" s="27">
        <f t="shared" si="5"/>
        <v>0.37104276273629266</v>
      </c>
      <c r="AC28" s="27">
        <f t="shared" si="5"/>
        <v>0.3696446950787069</v>
      </c>
      <c r="AD28" s="27">
        <f t="shared" si="5"/>
        <v>0.36486616245940073</v>
      </c>
      <c r="AE28" s="27">
        <f t="shared" si="5"/>
        <v>0.35691148159098635</v>
      </c>
      <c r="AF28" s="27">
        <f t="shared" si="5"/>
        <v>0.34601365683909852</v>
      </c>
      <c r="AG28" s="27">
        <f t="shared" si="5"/>
        <v>0.33243527547998164</v>
      </c>
    </row>
    <row r="29" spans="2:33">
      <c r="B29" s="26">
        <f>y_half-(23)*(2*y_half)/(25-1)</f>
        <v>-137.5</v>
      </c>
      <c r="C29" s="27">
        <f t="shared" si="3"/>
        <v>0</v>
      </c>
      <c r="D29" s="27">
        <f t="shared" si="3"/>
        <v>0</v>
      </c>
      <c r="E29" s="27">
        <f t="shared" si="3"/>
        <v>1.6390001872043652E-13</v>
      </c>
      <c r="F29" s="27">
        <f t="shared" si="3"/>
        <v>4.2396423108392618E-9</v>
      </c>
      <c r="G29" s="27">
        <f t="shared" si="3"/>
        <v>7.2938979404421903E-7</v>
      </c>
      <c r="H29" s="27">
        <f t="shared" si="3"/>
        <v>1.6466670282783993E-5</v>
      </c>
      <c r="I29" s="27">
        <f t="shared" si="3"/>
        <v>1.3295390631331368E-4</v>
      </c>
      <c r="J29" s="27">
        <f t="shared" si="3"/>
        <v>5.9217749983755919E-4</v>
      </c>
      <c r="K29" s="27">
        <f t="shared" si="3"/>
        <v>1.8103124652689192E-3</v>
      </c>
      <c r="L29" s="27">
        <f t="shared" si="3"/>
        <v>4.2930424979942651E-3</v>
      </c>
      <c r="M29" s="27">
        <f t="shared" si="4"/>
        <v>8.5044455801348909E-3</v>
      </c>
      <c r="N29" s="27">
        <f t="shared" si="4"/>
        <v>1.4758036479755666E-2</v>
      </c>
      <c r="O29" s="27">
        <f t="shared" si="4"/>
        <v>2.3162174422178338E-2</v>
      </c>
      <c r="P29" s="27">
        <f t="shared" si="4"/>
        <v>3.3618195822244686E-2</v>
      </c>
      <c r="Q29" s="27">
        <f t="shared" si="4"/>
        <v>4.5854146448131933E-2</v>
      </c>
      <c r="R29" s="27">
        <f t="shared" si="4"/>
        <v>5.9475313946237569E-2</v>
      </c>
      <c r="S29" s="27">
        <f t="shared" si="4"/>
        <v>7.4017228372639021E-2</v>
      </c>
      <c r="T29" s="27">
        <f t="shared" si="4"/>
        <v>8.8992440351896407E-2</v>
      </c>
      <c r="U29" s="27">
        <f t="shared" si="4"/>
        <v>0.10392704692239735</v>
      </c>
      <c r="V29" s="27">
        <f t="shared" si="4"/>
        <v>0.11838609462334586</v>
      </c>
      <c r="W29" s="27">
        <f t="shared" si="5"/>
        <v>0.13198882853107202</v>
      </c>
      <c r="X29" s="27">
        <f t="shared" si="5"/>
        <v>0.14441564630329704</v>
      </c>
      <c r="Y29" s="27">
        <f t="shared" si="5"/>
        <v>0.15540890384937581</v>
      </c>
      <c r="Z29" s="27">
        <f t="shared" si="5"/>
        <v>0.16476965937345192</v>
      </c>
      <c r="AA29" s="27">
        <f t="shared" si="5"/>
        <v>0.172352199566355</v>
      </c>
      <c r="AB29" s="27">
        <f t="shared" si="5"/>
        <v>0.17805786021570627</v>
      </c>
      <c r="AC29" s="27">
        <f t="shared" si="5"/>
        <v>0.18182928272107446</v>
      </c>
      <c r="AD29" s="27">
        <f t="shared" si="5"/>
        <v>0.18364586281148487</v>
      </c>
      <c r="AE29" s="27">
        <f t="shared" si="5"/>
        <v>0.18352076410082635</v>
      </c>
      <c r="AF29" s="27">
        <f t="shared" si="5"/>
        <v>0.18149950374752383</v>
      </c>
      <c r="AG29" s="27">
        <f t="shared" si="5"/>
        <v>0.17765979239602794</v>
      </c>
    </row>
    <row r="30" spans="2:33">
      <c r="B30" s="26">
        <f>y_half-(24)*(2*y_half)/(25-1)</f>
        <v>-150</v>
      </c>
      <c r="C30" s="27">
        <f t="shared" si="3"/>
        <v>0</v>
      </c>
      <c r="D30" s="27">
        <f t="shared" si="3"/>
        <v>0</v>
      </c>
      <c r="E30" s="27">
        <f t="shared" si="3"/>
        <v>0</v>
      </c>
      <c r="F30" s="27">
        <f t="shared" si="3"/>
        <v>9.6743085848222889E-12</v>
      </c>
      <c r="G30" s="27">
        <f t="shared" si="3"/>
        <v>7.3869978578222446E-9</v>
      </c>
      <c r="H30" s="27">
        <f t="shared" si="3"/>
        <v>4.0801829773513438E-7</v>
      </c>
      <c r="I30" s="27">
        <f t="shared" si="3"/>
        <v>5.9841585532322447E-6</v>
      </c>
      <c r="J30" s="27">
        <f t="shared" si="3"/>
        <v>4.0837937748819692E-5</v>
      </c>
      <c r="K30" s="27">
        <f t="shared" si="3"/>
        <v>1.719760287391148E-4</v>
      </c>
      <c r="L30" s="27">
        <f t="shared" si="3"/>
        <v>5.233236410554699E-4</v>
      </c>
      <c r="M30" s="27">
        <f t="shared" si="4"/>
        <v>1.2658096309306301E-3</v>
      </c>
      <c r="N30" s="27">
        <f t="shared" si="4"/>
        <v>2.5868659569695321E-3</v>
      </c>
      <c r="O30" s="27">
        <f t="shared" si="4"/>
        <v>4.6534312121859168E-3</v>
      </c>
      <c r="P30" s="27">
        <f t="shared" si="4"/>
        <v>7.5815287345040016E-3</v>
      </c>
      <c r="Q30" s="27">
        <f t="shared" si="4"/>
        <v>1.141900110919432E-2</v>
      </c>
      <c r="R30" s="27">
        <f t="shared" si="4"/>
        <v>1.6141881962676751E-2</v>
      </c>
      <c r="S30" s="27">
        <f t="shared" si="4"/>
        <v>2.1661360844786738E-2</v>
      </c>
      <c r="T30" s="27">
        <f t="shared" si="4"/>
        <v>2.7837167372521954E-2</v>
      </c>
      <c r="U30" s="27">
        <f t="shared" si="4"/>
        <v>3.4493543436895466E-2</v>
      </c>
      <c r="V30" s="27">
        <f t="shared" si="4"/>
        <v>4.1434948540776229E-2</v>
      </c>
      <c r="W30" s="27">
        <f t="shared" si="5"/>
        <v>4.8459723551644192E-2</v>
      </c>
      <c r="X30" s="27">
        <f t="shared" si="5"/>
        <v>5.5370864874725208E-2</v>
      </c>
      <c r="Y30" s="27">
        <f t="shared" si="5"/>
        <v>6.1983750032209038E-2</v>
      </c>
      <c r="Z30" s="27">
        <f t="shared" si="5"/>
        <v>6.8131110940595291E-2</v>
      </c>
      <c r="AA30" s="27">
        <f t="shared" si="5"/>
        <v>7.3665810895123099E-2</v>
      </c>
      <c r="AB30" s="27">
        <f t="shared" si="5"/>
        <v>7.8462089045497938E-2</v>
      </c>
      <c r="AC30" s="27">
        <f t="shared" si="5"/>
        <v>8.2415929723202219E-2</v>
      </c>
      <c r="AD30" s="27">
        <f t="shared" si="5"/>
        <v>8.5445123258740041E-2</v>
      </c>
      <c r="AE30" s="27">
        <f t="shared" si="5"/>
        <v>8.7489434427065832E-2</v>
      </c>
      <c r="AF30" s="27">
        <f t="shared" si="5"/>
        <v>8.8511107100591249E-2</v>
      </c>
      <c r="AG30" s="27">
        <f t="shared" si="5"/>
        <v>8.8495732715874284E-2</v>
      </c>
    </row>
  </sheetData>
  <mergeCells count="2">
    <mergeCell ref="A2:L2"/>
    <mergeCell ref="A1:K1"/>
  </mergeCells>
  <conditionalFormatting sqref="C6:AG30">
    <cfRule type="colorScale" priority="1">
      <colorScale>
        <cfvo type="num" val="0"/>
        <cfvo type="percentile" val="80"/>
        <cfvo type="percentile" val="99"/>
        <color rgb="FFFFFFFF"/>
        <color rgb="FFFFD24D"/>
        <color rgb="FFC0392B"/>
      </colorScale>
    </cfRule>
  </conditionalFormatting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41652F"/>
  </sheetPr>
  <dimension ref="A1:AK48"/>
  <sheetViews>
    <sheetView showGridLines="0" topLeftCell="A6" zoomScale="75" zoomScaleNormal="75" workbookViewId="0">
      <selection activeCell="AM6" sqref="AM6"/>
    </sheetView>
  </sheetViews>
  <sheetFormatPr defaultRowHeight="15"/>
  <cols>
    <col min="1" max="1" width="8" customWidth="1"/>
    <col min="2" max="9" width="13" hidden="1" customWidth="1"/>
    <col min="10" max="10" width="10.28515625" bestFit="1" customWidth="1"/>
    <col min="11" max="13" width="10.5703125" bestFit="1" customWidth="1"/>
    <col min="14" max="21" width="2" hidden="1" customWidth="1"/>
    <col min="22" max="23" width="10.28515625" bestFit="1" customWidth="1"/>
    <col min="24" max="25" width="10.5703125" bestFit="1" customWidth="1"/>
    <col min="26" max="33" width="2" hidden="1" customWidth="1"/>
    <col min="34" max="35" width="10.28515625" bestFit="1" customWidth="1"/>
    <col min="36" max="37" width="10.5703125" bestFit="1" customWidth="1"/>
  </cols>
  <sheetData>
    <row r="1" spans="1:37" hidden="1">
      <c r="B1" s="51" t="s">
        <v>55</v>
      </c>
      <c r="C1" s="45"/>
      <c r="D1" s="45"/>
      <c r="E1" s="45"/>
      <c r="F1" s="45"/>
      <c r="G1" s="45"/>
      <c r="H1" s="45"/>
    </row>
    <row r="2" spans="1:37" hidden="1">
      <c r="B2" s="50" t="str">
        <f>IF(mode=1,"Transient. Each receptor: PCE/TCE/DCE/VC vs time.","Steady-state mode: curves are flat (time-independent).")</f>
        <v>Transient. Each receptor: PCE/TCE/DCE/VC vs time.</v>
      </c>
      <c r="C2" s="45"/>
      <c r="D2" s="45"/>
      <c r="E2" s="45"/>
      <c r="F2" s="45"/>
      <c r="G2" s="45"/>
      <c r="H2" s="45"/>
    </row>
    <row r="3" spans="1:37" hidden="1"/>
    <row r="4" spans="1:37" hidden="1">
      <c r="B4" s="24" t="s">
        <v>45</v>
      </c>
      <c r="C4" s="28" t="s">
        <v>56</v>
      </c>
      <c r="N4" s="24" t="s">
        <v>46</v>
      </c>
      <c r="O4" s="28" t="s">
        <v>56</v>
      </c>
      <c r="Z4" s="24" t="s">
        <v>47</v>
      </c>
      <c r="AA4" s="28" t="s">
        <v>56</v>
      </c>
    </row>
    <row r="5" spans="1:37" hidden="1">
      <c r="B5" s="29">
        <f>IF(recx_1&lt;=0,0,IF(a_V&lt;=1E-30,2,ERF((0+Z_src)/(2*SQRT(a_V*recx_1)))-ERF((0-Z_src)/(2*SQRT(a_V*recx_1)))))</f>
        <v>2</v>
      </c>
      <c r="N5" s="29">
        <f>IF(recx_2&lt;=0,0,IF(a_V&lt;=1E-30,2,ERF((0+Z_src)/(2*SQRT(a_V*recx_2)))-ERF((0-Z_src)/(2*SQRT(a_V*recx_2)))))</f>
        <v>2</v>
      </c>
      <c r="Z5" s="29">
        <f>IF(recx_3&lt;=0,0,IF(a_V&lt;=1E-30,2,ERF((0+Z_src)/(2*SQRT(a_V*recx_3)))-ERF((0-Z_src)/(2*SQRT(a_V*recx_3)))))</f>
        <v>2</v>
      </c>
    </row>
    <row r="6" spans="1:37">
      <c r="B6" s="29">
        <f>IF(recx_1&lt;=0,0,ERF((recy_1+Y_src/2)/(2*SQRT(a_T*recx_1)))-ERF((recy_1-Y_src/2)/(2*SQRT(a_T*recx_1))))</f>
        <v>1.8981644310062331</v>
      </c>
      <c r="J6" s="52" t="s">
        <v>45</v>
      </c>
      <c r="K6" s="52"/>
      <c r="L6" s="52"/>
      <c r="M6" s="52"/>
      <c r="N6" s="43">
        <f>IF(recx_2&lt;=0,0,ERF((recy_2+Y_src/2)/(2*SQRT(a_T*recx_2)))-ERF((recy_2-Y_src/2)/(2*SQRT(a_T*recx_2))))</f>
        <v>1.7199529022524402</v>
      </c>
      <c r="O6" s="42"/>
      <c r="P6" s="42"/>
      <c r="Q6" s="42"/>
      <c r="R6" s="42"/>
      <c r="S6" s="42"/>
      <c r="T6" s="42"/>
      <c r="U6" s="42"/>
      <c r="V6" s="52" t="s">
        <v>46</v>
      </c>
      <c r="W6" s="52"/>
      <c r="X6" s="52"/>
      <c r="Y6" s="52"/>
      <c r="Z6" s="43">
        <f>IF(recx_3&lt;=0,0,ERF((recy_3+Y_src/2)/(2*SQRT(a_T*recx_3)))-ERF((recy_3-Y_src/2)/(2*SQRT(a_T*recx_3))))</f>
        <v>1.5660873489967677</v>
      </c>
      <c r="AA6" s="42"/>
      <c r="AB6" s="42"/>
      <c r="AC6" s="42"/>
      <c r="AD6" s="42"/>
      <c r="AE6" s="42"/>
      <c r="AF6" s="42"/>
      <c r="AG6" s="42"/>
      <c r="AH6" s="52" t="s">
        <v>47</v>
      </c>
      <c r="AI6" s="52"/>
      <c r="AJ6" s="52"/>
      <c r="AK6" s="52"/>
    </row>
    <row r="7" spans="1:37">
      <c r="A7" s="30" t="s">
        <v>57</v>
      </c>
      <c r="B7" s="31" t="s">
        <v>58</v>
      </c>
      <c r="C7" s="31" t="s">
        <v>59</v>
      </c>
      <c r="D7" s="31" t="s">
        <v>60</v>
      </c>
      <c r="E7" s="31" t="s">
        <v>61</v>
      </c>
      <c r="F7" s="31" t="s">
        <v>62</v>
      </c>
      <c r="G7" s="31" t="s">
        <v>63</v>
      </c>
      <c r="H7" s="31" t="s">
        <v>64</v>
      </c>
      <c r="I7" s="31" t="s">
        <v>65</v>
      </c>
      <c r="J7" s="32" t="s">
        <v>31</v>
      </c>
      <c r="K7" s="32" t="s">
        <v>33</v>
      </c>
      <c r="L7" s="32" t="s">
        <v>34</v>
      </c>
      <c r="M7" s="32" t="s">
        <v>35</v>
      </c>
      <c r="N7" s="31" t="s">
        <v>58</v>
      </c>
      <c r="O7" s="31" t="s">
        <v>59</v>
      </c>
      <c r="P7" s="31" t="s">
        <v>60</v>
      </c>
      <c r="Q7" s="31" t="s">
        <v>61</v>
      </c>
      <c r="R7" s="31" t="s">
        <v>62</v>
      </c>
      <c r="S7" s="31" t="s">
        <v>63</v>
      </c>
      <c r="T7" s="31" t="s">
        <v>64</v>
      </c>
      <c r="U7" s="31" t="s">
        <v>65</v>
      </c>
      <c r="V7" s="32" t="s">
        <v>31</v>
      </c>
      <c r="W7" s="32" t="s">
        <v>33</v>
      </c>
      <c r="X7" s="32" t="s">
        <v>34</v>
      </c>
      <c r="Y7" s="32" t="s">
        <v>35</v>
      </c>
      <c r="Z7" s="31" t="s">
        <v>58</v>
      </c>
      <c r="AA7" s="31" t="s">
        <v>59</v>
      </c>
      <c r="AB7" s="31" t="s">
        <v>60</v>
      </c>
      <c r="AC7" s="31" t="s">
        <v>61</v>
      </c>
      <c r="AD7" s="31" t="s">
        <v>62</v>
      </c>
      <c r="AE7" s="31" t="s">
        <v>63</v>
      </c>
      <c r="AF7" s="31" t="s">
        <v>64</v>
      </c>
      <c r="AG7" s="31" t="s">
        <v>65</v>
      </c>
      <c r="AH7" s="32" t="s">
        <v>31</v>
      </c>
      <c r="AI7" s="32" t="s">
        <v>33</v>
      </c>
      <c r="AJ7" s="32" t="s">
        <v>34</v>
      </c>
      <c r="AK7" s="32" t="s">
        <v>35</v>
      </c>
    </row>
    <row r="8" spans="1:37">
      <c r="A8" s="33">
        <f>(0)*t_max/(41-1)</f>
        <v>0</v>
      </c>
      <c r="B8">
        <f t="shared" ref="B8:B48" si="0">IF(recx_1&lt;=0,0,IF(mode=1,IF($A8&lt;=0,0,EXP(recx_1*(1-cc_1)/(2*a_L))*ERFC((recx_1-v_c*$A8*cc_1)/(2*SQRT(a_L*v_c*$A8)))+IF(recx_1*(1+cc_1)/(2*a_L)&gt;690,0,EXP(recx_1*(1+cc_1)/(2*a_L))*ERFC((recx_1+v_c*$A8*cc_1)/(2*SQRT(a_L*v_c*$A8))))),2*EXP(recx_1*(1-cc_1)/(2*a_L))))</f>
        <v>0</v>
      </c>
      <c r="C8">
        <f t="shared" ref="C8:C48" si="1">IF(recx_1&lt;=0,0,IF(mode=1,IF($A8&lt;=0,0,EXP(recx_1*(1-cc_2)/(2*a_L))*ERFC((recx_1-v_c*$A8*cc_2)/(2*SQRT(a_L*v_c*$A8)))+IF(recx_1*(1+cc_2)/(2*a_L)&gt;690,0,EXP(recx_1*(1+cc_2)/(2*a_L))*ERFC((recx_1+v_c*$A8*cc_2)/(2*SQRT(a_L*v_c*$A8))))),2*EXP(recx_1*(1-cc_2)/(2*a_L))))</f>
        <v>0</v>
      </c>
      <c r="D8">
        <f t="shared" ref="D8:D48" si="2">IF(recx_1&lt;=0,0,IF(mode=1,IF($A8&lt;=0,0,EXP(recx_1*(1-cc_3)/(2*a_L))*ERFC((recx_1-v_c*$A8*cc_3)/(2*SQRT(a_L*v_c*$A8)))+IF(recx_1*(1+cc_3)/(2*a_L)&gt;690,0,EXP(recx_1*(1+cc_3)/(2*a_L))*ERFC((recx_1+v_c*$A8*cc_3)/(2*SQRT(a_L*v_c*$A8))))),2*EXP(recx_1*(1-cc_3)/(2*a_L))))</f>
        <v>0</v>
      </c>
      <c r="E8">
        <f t="shared" ref="E8:E48" si="3">IF(recx_1&lt;=0,0,IF(mode=1,IF($A8&lt;=0,0,EXP(recx_1*(1-cc_4)/(2*a_L))*ERFC((recx_1-v_c*$A8*cc_4)/(2*SQRT(a_L*v_c*$A8)))+IF(recx_1*(1+cc_4)/(2*a_L)&gt;690,0,EXP(recx_1*(1+cc_4)/(2*a_L))*ERFC((recx_1+v_c*$A8*cc_4)/(2*SQRT(a_L*v_c*$A8))))),2*EXP(recx_1*(1-cc_4)/(2*a_L))))</f>
        <v>0</v>
      </c>
      <c r="F8">
        <f t="shared" ref="F8:F48" si="4">a0_1*B8</f>
        <v>0</v>
      </c>
      <c r="G8">
        <f t="shared" ref="G8:G48" si="5">a0_2*C8-p_21*F8</f>
        <v>0</v>
      </c>
      <c r="H8">
        <f t="shared" ref="H8:H48" si="6">a0_3*D8-p_32*G8-p_31*F8</f>
        <v>0</v>
      </c>
      <c r="I8">
        <f t="shared" ref="I8:I48" si="7">a0_4*E8-p_43*H8-p_42*G8-p_41*F8</f>
        <v>0</v>
      </c>
      <c r="J8" s="23">
        <f t="shared" ref="J8:J48" si="8">IF($A8&lt;=0,0,B$6*(1/8)*B$5*F8)</f>
        <v>0</v>
      </c>
      <c r="K8" s="23">
        <f t="shared" ref="K8:K48" si="9">IF($A8&lt;=0,0,B$6*(1/8)*B$5*G8)</f>
        <v>0</v>
      </c>
      <c r="L8" s="23">
        <f t="shared" ref="L8:L48" si="10">IF($A8&lt;=0,0,B$6*(1/8)*B$5*H8)</f>
        <v>0</v>
      </c>
      <c r="M8" s="23">
        <f t="shared" ref="M8:M48" si="11">IF($A8&lt;=0,0,B$6*(1/8)*B$5*I8)</f>
        <v>0</v>
      </c>
      <c r="N8">
        <f t="shared" ref="N8:N48" si="12">IF(recx_2&lt;=0,0,IF(mode=1,IF($A8&lt;=0,0,EXP(recx_2*(1-cc_1)/(2*a_L))*ERFC((recx_2-v_c*$A8*cc_1)/(2*SQRT(a_L*v_c*$A8)))+IF(recx_2*(1+cc_1)/(2*a_L)&gt;690,0,EXP(recx_2*(1+cc_1)/(2*a_L))*ERFC((recx_2+v_c*$A8*cc_1)/(2*SQRT(a_L*v_c*$A8))))),2*EXP(recx_2*(1-cc_1)/(2*a_L))))</f>
        <v>0</v>
      </c>
      <c r="O8">
        <f t="shared" ref="O8:O48" si="13">IF(recx_2&lt;=0,0,IF(mode=1,IF($A8&lt;=0,0,EXP(recx_2*(1-cc_2)/(2*a_L))*ERFC((recx_2-v_c*$A8*cc_2)/(2*SQRT(a_L*v_c*$A8)))+IF(recx_2*(1+cc_2)/(2*a_L)&gt;690,0,EXP(recx_2*(1+cc_2)/(2*a_L))*ERFC((recx_2+v_c*$A8*cc_2)/(2*SQRT(a_L*v_c*$A8))))),2*EXP(recx_2*(1-cc_2)/(2*a_L))))</f>
        <v>0</v>
      </c>
      <c r="P8">
        <f t="shared" ref="P8:P48" si="14">IF(recx_2&lt;=0,0,IF(mode=1,IF($A8&lt;=0,0,EXP(recx_2*(1-cc_3)/(2*a_L))*ERFC((recx_2-v_c*$A8*cc_3)/(2*SQRT(a_L*v_c*$A8)))+IF(recx_2*(1+cc_3)/(2*a_L)&gt;690,0,EXP(recx_2*(1+cc_3)/(2*a_L))*ERFC((recx_2+v_c*$A8*cc_3)/(2*SQRT(a_L*v_c*$A8))))),2*EXP(recx_2*(1-cc_3)/(2*a_L))))</f>
        <v>0</v>
      </c>
      <c r="Q8">
        <f t="shared" ref="Q8:Q48" si="15">IF(recx_2&lt;=0,0,IF(mode=1,IF($A8&lt;=0,0,EXP(recx_2*(1-cc_4)/(2*a_L))*ERFC((recx_2-v_c*$A8*cc_4)/(2*SQRT(a_L*v_c*$A8)))+IF(recx_2*(1+cc_4)/(2*a_L)&gt;690,0,EXP(recx_2*(1+cc_4)/(2*a_L))*ERFC((recx_2+v_c*$A8*cc_4)/(2*SQRT(a_L*v_c*$A8))))),2*EXP(recx_2*(1-cc_4)/(2*a_L))))</f>
        <v>0</v>
      </c>
      <c r="R8">
        <f t="shared" ref="R8:R48" si="16">a0_1*N8</f>
        <v>0</v>
      </c>
      <c r="S8">
        <f t="shared" ref="S8:S48" si="17">a0_2*O8-p_21*R8</f>
        <v>0</v>
      </c>
      <c r="T8">
        <f t="shared" ref="T8:T48" si="18">a0_3*P8-p_32*S8-p_31*R8</f>
        <v>0</v>
      </c>
      <c r="U8">
        <f t="shared" ref="U8:U48" si="19">a0_4*Q8-p_43*T8-p_42*S8-p_41*R8</f>
        <v>0</v>
      </c>
      <c r="V8" s="23">
        <f t="shared" ref="V8:V48" si="20">IF($A8&lt;=0,0,N$6*(1/8)*N$5*R8)</f>
        <v>0</v>
      </c>
      <c r="W8" s="23">
        <f t="shared" ref="W8:W48" si="21">IF($A8&lt;=0,0,N$6*(1/8)*N$5*S8)</f>
        <v>0</v>
      </c>
      <c r="X8" s="23">
        <f t="shared" ref="X8:X48" si="22">IF($A8&lt;=0,0,N$6*(1/8)*N$5*T8)</f>
        <v>0</v>
      </c>
      <c r="Y8" s="23">
        <f t="shared" ref="Y8:Y48" si="23">IF($A8&lt;=0,0,N$6*(1/8)*N$5*U8)</f>
        <v>0</v>
      </c>
      <c r="Z8">
        <f t="shared" ref="Z8:Z48" si="24">IF(recx_3&lt;=0,0,IF(mode=1,IF($A8&lt;=0,0,EXP(recx_3*(1-cc_1)/(2*a_L))*ERFC((recx_3-v_c*$A8*cc_1)/(2*SQRT(a_L*v_c*$A8)))+IF(recx_3*(1+cc_1)/(2*a_L)&gt;690,0,EXP(recx_3*(1+cc_1)/(2*a_L))*ERFC((recx_3+v_c*$A8*cc_1)/(2*SQRT(a_L*v_c*$A8))))),2*EXP(recx_3*(1-cc_1)/(2*a_L))))</f>
        <v>0</v>
      </c>
      <c r="AA8">
        <f t="shared" ref="AA8:AA48" si="25">IF(recx_3&lt;=0,0,IF(mode=1,IF($A8&lt;=0,0,EXP(recx_3*(1-cc_2)/(2*a_L))*ERFC((recx_3-v_c*$A8*cc_2)/(2*SQRT(a_L*v_c*$A8)))+IF(recx_3*(1+cc_2)/(2*a_L)&gt;690,0,EXP(recx_3*(1+cc_2)/(2*a_L))*ERFC((recx_3+v_c*$A8*cc_2)/(2*SQRT(a_L*v_c*$A8))))),2*EXP(recx_3*(1-cc_2)/(2*a_L))))</f>
        <v>0</v>
      </c>
      <c r="AB8">
        <f t="shared" ref="AB8:AB48" si="26">IF(recx_3&lt;=0,0,IF(mode=1,IF($A8&lt;=0,0,EXP(recx_3*(1-cc_3)/(2*a_L))*ERFC((recx_3-v_c*$A8*cc_3)/(2*SQRT(a_L*v_c*$A8)))+IF(recx_3*(1+cc_3)/(2*a_L)&gt;690,0,EXP(recx_3*(1+cc_3)/(2*a_L))*ERFC((recx_3+v_c*$A8*cc_3)/(2*SQRT(a_L*v_c*$A8))))),2*EXP(recx_3*(1-cc_3)/(2*a_L))))</f>
        <v>0</v>
      </c>
      <c r="AC8">
        <f t="shared" ref="AC8:AC48" si="27">IF(recx_3&lt;=0,0,IF(mode=1,IF($A8&lt;=0,0,EXP(recx_3*(1-cc_4)/(2*a_L))*ERFC((recx_3-v_c*$A8*cc_4)/(2*SQRT(a_L*v_c*$A8)))+IF(recx_3*(1+cc_4)/(2*a_L)&gt;690,0,EXP(recx_3*(1+cc_4)/(2*a_L))*ERFC((recx_3+v_c*$A8*cc_4)/(2*SQRT(a_L*v_c*$A8))))),2*EXP(recx_3*(1-cc_4)/(2*a_L))))</f>
        <v>0</v>
      </c>
      <c r="AD8">
        <f t="shared" ref="AD8:AD48" si="28">a0_1*Z8</f>
        <v>0</v>
      </c>
      <c r="AE8">
        <f t="shared" ref="AE8:AE48" si="29">a0_2*AA8-p_21*AD8</f>
        <v>0</v>
      </c>
      <c r="AF8">
        <f t="shared" ref="AF8:AF48" si="30">a0_3*AB8-p_32*AE8-p_31*AD8</f>
        <v>0</v>
      </c>
      <c r="AG8">
        <f t="shared" ref="AG8:AG48" si="31">a0_4*AC8-p_43*AF8-p_42*AE8-p_41*AD8</f>
        <v>0</v>
      </c>
      <c r="AH8" s="23">
        <f t="shared" ref="AH8:AH48" si="32">IF($A8&lt;=0,0,Z$6*(1/8)*Z$5*AD8)</f>
        <v>0</v>
      </c>
      <c r="AI8" s="23">
        <f t="shared" ref="AI8:AI48" si="33">IF($A8&lt;=0,0,Z$6*(1/8)*Z$5*AE8)</f>
        <v>0</v>
      </c>
      <c r="AJ8" s="23">
        <f t="shared" ref="AJ8:AJ48" si="34">IF($A8&lt;=0,0,Z$6*(1/8)*Z$5*AF8)</f>
        <v>0</v>
      </c>
      <c r="AK8" s="23">
        <f t="shared" ref="AK8:AK48" si="35">IF($A8&lt;=0,0,Z$6*(1/8)*Z$5*AG8)</f>
        <v>0</v>
      </c>
    </row>
    <row r="9" spans="1:37">
      <c r="A9" s="33">
        <f>(1)*t_max/(41-1)</f>
        <v>1.5</v>
      </c>
      <c r="B9">
        <f t="shared" si="0"/>
        <v>1.725815958071757E-7</v>
      </c>
      <c r="C9">
        <f t="shared" si="1"/>
        <v>1.9747053470204233E-7</v>
      </c>
      <c r="D9">
        <f t="shared" si="2"/>
        <v>2.3847405794915705E-7</v>
      </c>
      <c r="E9">
        <f t="shared" si="3"/>
        <v>2.4831540423658482E-7</v>
      </c>
      <c r="F9">
        <f t="shared" si="4"/>
        <v>1.7258159580717569E-8</v>
      </c>
      <c r="G9">
        <f t="shared" si="5"/>
        <v>3.1279483344147924E-6</v>
      </c>
      <c r="H9">
        <f t="shared" si="6"/>
        <v>2.4514744188880837E-5</v>
      </c>
      <c r="I9">
        <f t="shared" si="7"/>
        <v>4.1790432737599663E-6</v>
      </c>
      <c r="J9" s="23">
        <f t="shared" si="8"/>
        <v>8.1897061651868845E-9</v>
      </c>
      <c r="K9" s="23">
        <f t="shared" si="9"/>
        <v>1.4843400676028373E-6</v>
      </c>
      <c r="L9" s="23">
        <f t="shared" si="10"/>
        <v>1.1633253863637589E-5</v>
      </c>
      <c r="M9" s="23">
        <f t="shared" si="11"/>
        <v>1.9831278244717531E-6</v>
      </c>
      <c r="N9">
        <f t="shared" si="12"/>
        <v>4.96787537958499E-23</v>
      </c>
      <c r="O9">
        <f t="shared" si="13"/>
        <v>5.709701599245044E-23</v>
      </c>
      <c r="P9">
        <f t="shared" si="14"/>
        <v>6.9380421998944643E-23</v>
      </c>
      <c r="Q9">
        <f t="shared" si="15"/>
        <v>7.233876867037563E-23</v>
      </c>
      <c r="R9">
        <f t="shared" si="16"/>
        <v>4.96787537958499E-24</v>
      </c>
      <c r="S9">
        <f t="shared" si="17"/>
        <v>9.0449162267484569E-22</v>
      </c>
      <c r="T9">
        <f t="shared" si="18"/>
        <v>7.1410562051563153E-21</v>
      </c>
      <c r="U9">
        <f t="shared" si="19"/>
        <v>1.2497324417055831E-21</v>
      </c>
      <c r="V9" s="23">
        <f t="shared" si="20"/>
        <v>2.1361279192864115E-24</v>
      </c>
      <c r="W9" s="23">
        <f t="shared" si="21"/>
        <v>3.8892074787065498E-22</v>
      </c>
      <c r="X9" s="23">
        <f t="shared" si="22"/>
        <v>3.0705700863016004E-21</v>
      </c>
      <c r="Y9" s="23">
        <f t="shared" si="23"/>
        <v>5.373702350376366E-22</v>
      </c>
      <c r="Z9">
        <f t="shared" si="24"/>
        <v>6.6800741882150678E-48</v>
      </c>
      <c r="AA9">
        <f t="shared" si="25"/>
        <v>7.6866063006435658E-48</v>
      </c>
      <c r="AB9">
        <f t="shared" si="26"/>
        <v>9.3555705448369878E-48</v>
      </c>
      <c r="AC9">
        <f t="shared" si="27"/>
        <v>9.7579059987956713E-48</v>
      </c>
      <c r="AD9">
        <f t="shared" si="28"/>
        <v>6.6800741882150678E-49</v>
      </c>
      <c r="AE9">
        <f t="shared" si="29"/>
        <v>1.2176842455289301E-46</v>
      </c>
      <c r="AF9">
        <f t="shared" si="30"/>
        <v>9.6324814496582863E-46</v>
      </c>
      <c r="AG9">
        <f t="shared" si="31"/>
        <v>1.6973919465165623E-46</v>
      </c>
      <c r="AH9" s="23">
        <f t="shared" si="32"/>
        <v>2.6153949191308677E-49</v>
      </c>
      <c r="AI9" s="23">
        <f t="shared" si="33"/>
        <v>4.7674997299888286E-47</v>
      </c>
      <c r="AJ9" s="23">
        <f t="shared" si="34"/>
        <v>3.7713268344389717E-46</v>
      </c>
      <c r="AK9" s="23">
        <f t="shared" si="35"/>
        <v>6.6456601343214659E-47</v>
      </c>
    </row>
    <row r="10" spans="1:37">
      <c r="A10" s="33">
        <f>(2)*t_max/(41-1)</f>
        <v>3</v>
      </c>
      <c r="B10">
        <f t="shared" si="0"/>
        <v>1.483973197476099E-3</v>
      </c>
      <c r="C10">
        <f t="shared" si="1"/>
        <v>1.9171070537944645E-3</v>
      </c>
      <c r="D10">
        <f t="shared" si="2"/>
        <v>2.746108255895561E-3</v>
      </c>
      <c r="E10">
        <f t="shared" si="3"/>
        <v>2.9663013509535329E-3</v>
      </c>
      <c r="F10">
        <f t="shared" si="4"/>
        <v>1.4839731974760991E-4</v>
      </c>
      <c r="G10">
        <f t="shared" si="5"/>
        <v>3.0428014155978379E-2</v>
      </c>
      <c r="H10">
        <f t="shared" si="6"/>
        <v>0.29123644934491189</v>
      </c>
      <c r="I10">
        <f t="shared" si="7"/>
        <v>8.6818813143237569E-2</v>
      </c>
      <c r="J10" s="23">
        <f t="shared" si="8"/>
        <v>7.0420628500392999E-5</v>
      </c>
      <c r="K10" s="23">
        <f t="shared" si="9"/>
        <v>1.4439343544258076E-2</v>
      </c>
      <c r="L10" s="23">
        <f t="shared" si="10"/>
        <v>0.13820366728976508</v>
      </c>
      <c r="M10" s="23">
        <f t="shared" si="11"/>
        <v>4.1199095762667504E-2</v>
      </c>
      <c r="N10">
        <f t="shared" si="12"/>
        <v>1.7250119878329931E-10</v>
      </c>
      <c r="O10">
        <f t="shared" si="13"/>
        <v>2.2679749676819993E-10</v>
      </c>
      <c r="P10">
        <f t="shared" si="14"/>
        <v>3.3271970265870084E-10</v>
      </c>
      <c r="Q10">
        <f t="shared" si="15"/>
        <v>3.6120406574837141E-10</v>
      </c>
      <c r="R10">
        <f t="shared" si="16"/>
        <v>1.7250119878329933E-11</v>
      </c>
      <c r="S10">
        <f t="shared" si="17"/>
        <v>3.6006649342152219E-9</v>
      </c>
      <c r="T10">
        <f t="shared" si="18"/>
        <v>3.5423776577666473E-8</v>
      </c>
      <c r="U10">
        <f t="shared" si="19"/>
        <v>1.1181182665338723E-8</v>
      </c>
      <c r="V10" s="23">
        <f t="shared" si="20"/>
        <v>7.4173484372340194E-12</v>
      </c>
      <c r="W10" s="23">
        <f t="shared" si="21"/>
        <v>1.5482435259105157E-9</v>
      </c>
      <c r="X10" s="23">
        <f t="shared" si="22"/>
        <v>1.5231806833374867E-8</v>
      </c>
      <c r="Y10" s="23">
        <f t="shared" si="23"/>
        <v>4.8077768939660028E-9</v>
      </c>
      <c r="Z10">
        <f t="shared" si="24"/>
        <v>5.0884224836641589E-22</v>
      </c>
      <c r="AA10">
        <f t="shared" si="25"/>
        <v>6.7216860287414148E-22</v>
      </c>
      <c r="AB10">
        <f t="shared" si="26"/>
        <v>9.9253537674813415E-22</v>
      </c>
      <c r="AC10">
        <f t="shared" si="27"/>
        <v>1.0789960977223793E-21</v>
      </c>
      <c r="AD10">
        <f t="shared" si="28"/>
        <v>5.0884224836641591E-23</v>
      </c>
      <c r="AE10">
        <f t="shared" si="29"/>
        <v>1.0672196479701549E-20</v>
      </c>
      <c r="AF10">
        <f t="shared" si="30"/>
        <v>1.0578272804246816E-19</v>
      </c>
      <c r="AG10">
        <f t="shared" si="31"/>
        <v>3.3902598154839097E-20</v>
      </c>
      <c r="AH10" s="23">
        <f t="shared" si="32"/>
        <v>1.9922285195042879E-23</v>
      </c>
      <c r="AI10" s="23">
        <f t="shared" si="33"/>
        <v>4.1783979732171087E-21</v>
      </c>
      <c r="AJ10" s="23">
        <f t="shared" si="34"/>
        <v>4.1416248032418747E-20</v>
      </c>
      <c r="AK10" s="23">
        <f t="shared" si="35"/>
        <v>1.3273607517103668E-20</v>
      </c>
    </row>
    <row r="11" spans="1:37">
      <c r="A11" s="33">
        <f>(3)*t_max/(41-1)</f>
        <v>4.5</v>
      </c>
      <c r="B11">
        <f t="shared" si="0"/>
        <v>1.9494904697420261E-2</v>
      </c>
      <c r="C11">
        <f t="shared" si="1"/>
        <v>2.8003285179311572E-2</v>
      </c>
      <c r="D11">
        <f t="shared" si="2"/>
        <v>4.6663928769667642E-2</v>
      </c>
      <c r="E11">
        <f t="shared" si="3"/>
        <v>5.2087484732807832E-2</v>
      </c>
      <c r="F11">
        <f t="shared" si="4"/>
        <v>1.9494904697420262E-3</v>
      </c>
      <c r="G11">
        <f t="shared" si="5"/>
        <v>0.44515729855818886</v>
      </c>
      <c r="H11">
        <f t="shared" si="6"/>
        <v>5.0637216286815008</v>
      </c>
      <c r="I11">
        <f t="shared" si="7"/>
        <v>2.1001519001525706</v>
      </c>
      <c r="J11" s="23">
        <f t="shared" si="8"/>
        <v>9.2511336706248683E-4</v>
      </c>
      <c r="K11" s="23">
        <f t="shared" si="9"/>
        <v>0.21124543758149411</v>
      </c>
      <c r="L11" s="23">
        <f t="shared" si="10"/>
        <v>2.4029440710200443</v>
      </c>
      <c r="M11" s="23">
        <f t="shared" si="11"/>
        <v>0.99660840914494087</v>
      </c>
      <c r="N11">
        <f t="shared" si="12"/>
        <v>1.5083795600072722E-6</v>
      </c>
      <c r="O11">
        <f t="shared" si="13"/>
        <v>2.256769115041187E-6</v>
      </c>
      <c r="P11">
        <f t="shared" si="14"/>
        <v>3.9694229906029496E-6</v>
      </c>
      <c r="Q11">
        <f t="shared" si="15"/>
        <v>4.4804255072949511E-6</v>
      </c>
      <c r="R11">
        <f t="shared" si="16"/>
        <v>1.5083795600072722E-7</v>
      </c>
      <c r="S11">
        <f t="shared" si="17"/>
        <v>3.5894915947685779E-5</v>
      </c>
      <c r="T11">
        <f t="shared" si="18"/>
        <v>4.3388824577301425E-4</v>
      </c>
      <c r="U11">
        <f t="shared" si="19"/>
        <v>1.9724302923451332E-4</v>
      </c>
      <c r="V11" s="23">
        <f t="shared" si="20"/>
        <v>6.4858545048319169E-8</v>
      </c>
      <c r="W11" s="23">
        <f t="shared" si="21"/>
        <v>1.5434391215082388E-5</v>
      </c>
      <c r="X11" s="23">
        <f t="shared" si="22"/>
        <v>1.86566836892629E-4</v>
      </c>
      <c r="Y11" s="23">
        <f t="shared" si="23"/>
        <v>8.4812180145241024E-5</v>
      </c>
      <c r="Z11">
        <f t="shared" si="24"/>
        <v>1.2076113780389909E-13</v>
      </c>
      <c r="AA11">
        <f t="shared" si="25"/>
        <v>1.8267640653664124E-13</v>
      </c>
      <c r="AB11">
        <f t="shared" si="26"/>
        <v>3.2614708277709346E-13</v>
      </c>
      <c r="AC11">
        <f t="shared" si="27"/>
        <v>3.6928942604617204E-13</v>
      </c>
      <c r="AD11">
        <f t="shared" si="28"/>
        <v>1.207611378038991E-14</v>
      </c>
      <c r="AE11">
        <f t="shared" si="29"/>
        <v>2.9059742974473445E-12</v>
      </c>
      <c r="AF11">
        <f t="shared" si="30"/>
        <v>3.5719497112637941E-11</v>
      </c>
      <c r="AG11">
        <f t="shared" si="31"/>
        <v>1.6641877632755572E-11</v>
      </c>
      <c r="AH11" s="23">
        <f t="shared" si="32"/>
        <v>4.7280622541285423E-15</v>
      </c>
      <c r="AI11" s="23">
        <f t="shared" si="33"/>
        <v>1.137752395935514E-12</v>
      </c>
      <c r="AJ11" s="23">
        <f t="shared" si="34"/>
        <v>1.3984963135157214E-11</v>
      </c>
      <c r="AK11" s="23">
        <f t="shared" si="35"/>
        <v>6.5156585060526947E-12</v>
      </c>
    </row>
    <row r="12" spans="1:37">
      <c r="A12" s="33">
        <f>(4)*t_max/(41-1)</f>
        <v>6</v>
      </c>
      <c r="B12">
        <f t="shared" si="0"/>
        <v>5.3150465262120153E-2</v>
      </c>
      <c r="C12">
        <f t="shared" si="1"/>
        <v>8.3349058604742191E-2</v>
      </c>
      <c r="D12">
        <f t="shared" si="2"/>
        <v>0.15801757982300632</v>
      </c>
      <c r="E12">
        <f t="shared" si="3"/>
        <v>0.18149052853838757</v>
      </c>
      <c r="F12">
        <f t="shared" si="4"/>
        <v>5.3150465262120153E-3</v>
      </c>
      <c r="G12">
        <f t="shared" si="5"/>
        <v>1.3265173122828937</v>
      </c>
      <c r="H12">
        <f t="shared" si="6"/>
        <v>17.435807483994797</v>
      </c>
      <c r="I12">
        <f t="shared" si="7"/>
        <v>9.045957469857516</v>
      </c>
      <c r="J12" s="23">
        <f t="shared" si="8"/>
        <v>2.5222080662997215E-3</v>
      </c>
      <c r="K12" s="23">
        <f t="shared" si="9"/>
        <v>0.62948699482234416</v>
      </c>
      <c r="L12" s="23">
        <f t="shared" si="10"/>
        <v>8.274007397997801</v>
      </c>
      <c r="M12" s="23">
        <f t="shared" si="11"/>
        <v>4.2926786784196693</v>
      </c>
      <c r="N12">
        <f t="shared" si="12"/>
        <v>9.3923164789791162E-5</v>
      </c>
      <c r="O12">
        <f t="shared" si="13"/>
        <v>1.5889759755091003E-4</v>
      </c>
      <c r="P12">
        <f t="shared" si="14"/>
        <v>3.3239642493864812E-4</v>
      </c>
      <c r="Q12">
        <f t="shared" si="15"/>
        <v>3.8946467238786426E-4</v>
      </c>
      <c r="R12">
        <f t="shared" si="16"/>
        <v>9.3923164789791173E-6</v>
      </c>
      <c r="S12">
        <f t="shared" si="17"/>
        <v>2.5312418317405658E-3</v>
      </c>
      <c r="T12">
        <f t="shared" si="18"/>
        <v>3.7090178545641408E-2</v>
      </c>
      <c r="U12">
        <f t="shared" si="19"/>
        <v>2.1954755078565001E-2</v>
      </c>
      <c r="V12" s="23">
        <f t="shared" si="20"/>
        <v>4.0385854967233887E-6</v>
      </c>
      <c r="W12" s="23">
        <f t="shared" si="21"/>
        <v>1.0884041837012422E-3</v>
      </c>
      <c r="X12" s="23">
        <f t="shared" si="22"/>
        <v>1.5948340058659284E-2</v>
      </c>
      <c r="Y12" s="23">
        <f t="shared" si="23"/>
        <v>9.4402861789048432E-3</v>
      </c>
      <c r="Z12">
        <f t="shared" si="24"/>
        <v>1.1930408913145144E-9</v>
      </c>
      <c r="AA12">
        <f t="shared" si="25"/>
        <v>2.0608096184862458E-9</v>
      </c>
      <c r="AB12">
        <f t="shared" si="26"/>
        <v>4.4320888974999614E-9</v>
      </c>
      <c r="AC12">
        <f t="shared" si="27"/>
        <v>5.2228594169813807E-9</v>
      </c>
      <c r="AD12">
        <f t="shared" si="28"/>
        <v>1.1930408913145145E-10</v>
      </c>
      <c r="AE12">
        <f t="shared" si="29"/>
        <v>3.2836714658724023E-8</v>
      </c>
      <c r="AF12">
        <f t="shared" si="30"/>
        <v>4.96008039669009E-7</v>
      </c>
      <c r="AG12">
        <f t="shared" si="31"/>
        <v>3.0417912798788057E-7</v>
      </c>
      <c r="AH12" s="23">
        <f t="shared" si="32"/>
        <v>4.6710156168087223E-11</v>
      </c>
      <c r="AI12" s="23">
        <f t="shared" si="33"/>
        <v>1.2856290852411101E-8</v>
      </c>
      <c r="AJ12" s="23">
        <f t="shared" si="34"/>
        <v>1.9419797898158048E-7</v>
      </c>
      <c r="AK12" s="23">
        <f t="shared" si="35"/>
        <v>1.190927710426721E-7</v>
      </c>
    </row>
    <row r="13" spans="1:37">
      <c r="A13" s="33">
        <f>(5)*t_max/(41-1)</f>
        <v>7.5</v>
      </c>
      <c r="B13">
        <f t="shared" si="0"/>
        <v>8.1383543040624465E-2</v>
      </c>
      <c r="C13">
        <f t="shared" si="1"/>
        <v>0.13650318993691421</v>
      </c>
      <c r="D13">
        <f t="shared" si="2"/>
        <v>0.28726629459380781</v>
      </c>
      <c r="E13">
        <f t="shared" si="3"/>
        <v>0.33791302912408139</v>
      </c>
      <c r="F13">
        <f t="shared" si="4"/>
        <v>8.1383543040624475E-3</v>
      </c>
      <c r="G13">
        <f t="shared" si="5"/>
        <v>2.1742766848875639</v>
      </c>
      <c r="H13">
        <f t="shared" si="6"/>
        <v>32.075332549236563</v>
      </c>
      <c r="I13">
        <f t="shared" si="7"/>
        <v>19.509409359745231</v>
      </c>
      <c r="J13" s="23">
        <f t="shared" si="8"/>
        <v>3.8619836667244558E-3</v>
      </c>
      <c r="K13" s="23">
        <f t="shared" si="9"/>
        <v>1.0317836666049303</v>
      </c>
      <c r="L13" s="23">
        <f t="shared" si="10"/>
        <v>15.221063839414333</v>
      </c>
      <c r="M13" s="23">
        <f t="shared" si="11"/>
        <v>9.2580167291521214</v>
      </c>
      <c r="N13">
        <f t="shared" si="12"/>
        <v>8.2373059813316957E-4</v>
      </c>
      <c r="O13">
        <f t="shared" si="13"/>
        <v>1.56317636471136E-3</v>
      </c>
      <c r="P13">
        <f t="shared" si="14"/>
        <v>3.8514180387302244E-3</v>
      </c>
      <c r="Q13">
        <f t="shared" si="15"/>
        <v>4.6756201140767534E-3</v>
      </c>
      <c r="R13">
        <f t="shared" si="16"/>
        <v>8.2373059813316957E-5</v>
      </c>
      <c r="S13">
        <f t="shared" si="17"/>
        <v>2.4933306653946826E-2</v>
      </c>
      <c r="T13">
        <f t="shared" si="18"/>
        <v>0.43675893656903364</v>
      </c>
      <c r="U13">
        <f t="shared" si="19"/>
        <v>0.31745293564773031</v>
      </c>
      <c r="V13" s="23">
        <f t="shared" si="20"/>
        <v>3.5419445823332089E-5</v>
      </c>
      <c r="W13" s="23">
        <f t="shared" si="21"/>
        <v>1.0721028285551481E-2</v>
      </c>
      <c r="X13" s="23">
        <f t="shared" si="22"/>
        <v>0.18780120013414972</v>
      </c>
      <c r="Y13" s="23">
        <f t="shared" si="23"/>
        <v>0.13650102449896773</v>
      </c>
      <c r="Z13">
        <f t="shared" si="24"/>
        <v>2.0928108528780951E-7</v>
      </c>
      <c r="AA13">
        <f t="shared" si="25"/>
        <v>4.1140301742358517E-7</v>
      </c>
      <c r="AB13">
        <f t="shared" si="26"/>
        <v>1.0612268257704865E-6</v>
      </c>
      <c r="AC13">
        <f t="shared" si="27"/>
        <v>1.3004132611101562E-6</v>
      </c>
      <c r="AD13">
        <f t="shared" si="28"/>
        <v>2.0928108528780952E-8</v>
      </c>
      <c r="AE13">
        <f t="shared" si="29"/>
        <v>6.5644359818099941E-6</v>
      </c>
      <c r="AF13">
        <f t="shared" si="30"/>
        <v>1.2083219476033875E-4</v>
      </c>
      <c r="AG13">
        <f t="shared" si="31"/>
        <v>9.2168003702075839E-5</v>
      </c>
      <c r="AH13" s="23">
        <f t="shared" si="32"/>
        <v>8.1938115013388017E-9</v>
      </c>
      <c r="AI13" s="23">
        <f t="shared" si="33"/>
        <v>2.5701200361029518E-6</v>
      </c>
      <c r="AJ13" s="23">
        <f t="shared" si="34"/>
        <v>4.7308442891420012E-5</v>
      </c>
      <c r="AK13" s="23">
        <f t="shared" si="35"/>
        <v>3.6085786145027058E-5</v>
      </c>
    </row>
    <row r="14" spans="1:37">
      <c r="A14" s="33">
        <f>(6)*t_max/(41-1)</f>
        <v>9</v>
      </c>
      <c r="B14">
        <f t="shared" si="0"/>
        <v>9.7657748207839692E-2</v>
      </c>
      <c r="C14">
        <f t="shared" si="1"/>
        <v>0.17169392570587602</v>
      </c>
      <c r="D14">
        <f t="shared" si="2"/>
        <v>0.39114394261816482</v>
      </c>
      <c r="E14">
        <f t="shared" si="3"/>
        <v>0.46896354661362721</v>
      </c>
      <c r="F14">
        <f t="shared" si="4"/>
        <v>9.7657748207839699E-3</v>
      </c>
      <c r="G14">
        <f t="shared" si="5"/>
        <v>2.7363051614395371</v>
      </c>
      <c r="H14">
        <f t="shared" si="6"/>
        <v>44.031064763133351</v>
      </c>
      <c r="I14">
        <f t="shared" si="7"/>
        <v>30.006864161164803</v>
      </c>
      <c r="J14" s="23">
        <f t="shared" si="8"/>
        <v>4.6342616015071008E-3</v>
      </c>
      <c r="K14" s="23">
        <f t="shared" si="9"/>
        <v>1.2984892824558245</v>
      </c>
      <c r="L14" s="23">
        <f t="shared" si="10"/>
        <v>20.894550248177904</v>
      </c>
      <c r="M14" s="23">
        <f t="shared" si="11"/>
        <v>14.239490559189679</v>
      </c>
      <c r="N14">
        <f t="shared" si="12"/>
        <v>2.7725555752420219E-3</v>
      </c>
      <c r="O14">
        <f t="shared" si="13"/>
        <v>5.8419835115597445E-3</v>
      </c>
      <c r="P14">
        <f t="shared" si="14"/>
        <v>1.6753133970440488E-2</v>
      </c>
      <c r="Q14">
        <f t="shared" si="15"/>
        <v>2.1026210711258396E-2</v>
      </c>
      <c r="R14">
        <f t="shared" si="16"/>
        <v>2.7725555752420222E-4</v>
      </c>
      <c r="S14">
        <f t="shared" si="17"/>
        <v>9.3279319344699047E-2</v>
      </c>
      <c r="T14">
        <f t="shared" si="18"/>
        <v>1.9239937526532882</v>
      </c>
      <c r="U14">
        <f t="shared" si="19"/>
        <v>1.6504009394548047</v>
      </c>
      <c r="V14" s="23">
        <f t="shared" si="20"/>
        <v>1.192166252073425E-4</v>
      </c>
      <c r="W14" s="23">
        <f t="shared" si="21"/>
        <v>4.0109009006761828E-2</v>
      </c>
      <c r="X14" s="23">
        <f t="shared" si="22"/>
        <v>0.82729465969789673</v>
      </c>
      <c r="Y14" s="23">
        <f t="shared" si="23"/>
        <v>0.7096529714238613</v>
      </c>
      <c r="Z14">
        <f t="shared" si="24"/>
        <v>4.9303189143425179E-6</v>
      </c>
      <c r="AA14">
        <f t="shared" si="25"/>
        <v>1.0983849539460912E-5</v>
      </c>
      <c r="AB14">
        <f t="shared" si="26"/>
        <v>3.3810515966412977E-5</v>
      </c>
      <c r="AC14">
        <f t="shared" si="27"/>
        <v>4.3039686087976592E-5</v>
      </c>
      <c r="AD14">
        <f t="shared" si="28"/>
        <v>4.9303189143425181E-7</v>
      </c>
      <c r="AE14">
        <f t="shared" si="29"/>
        <v>1.7546965174929007E-4</v>
      </c>
      <c r="AF14">
        <f t="shared" si="30"/>
        <v>3.9032678258404847E-3</v>
      </c>
      <c r="AG14">
        <f t="shared" si="31"/>
        <v>3.5685363496877191E-3</v>
      </c>
      <c r="AH14" s="23">
        <f t="shared" si="32"/>
        <v>1.930327519567824E-7</v>
      </c>
      <c r="AI14" s="23">
        <f t="shared" si="33"/>
        <v>6.870020043435793E-5</v>
      </c>
      <c r="AJ14" s="23">
        <f t="shared" si="34"/>
        <v>1.5282145904487255E-3</v>
      </c>
      <c r="AK14" s="23">
        <f t="shared" si="35"/>
        <v>1.3971599079202607E-3</v>
      </c>
    </row>
    <row r="15" spans="1:37">
      <c r="A15" s="33">
        <f>(7)*t_max/(41-1)</f>
        <v>10.5</v>
      </c>
      <c r="B15">
        <f t="shared" si="0"/>
        <v>0.10536788008106628</v>
      </c>
      <c r="C15">
        <f t="shared" si="1"/>
        <v>0.19086905690254077</v>
      </c>
      <c r="D15">
        <f t="shared" si="2"/>
        <v>0.45998897676301098</v>
      </c>
      <c r="E15">
        <f t="shared" si="3"/>
        <v>0.55953920964693193</v>
      </c>
      <c r="F15">
        <f t="shared" si="4"/>
        <v>1.0536788008106628E-2</v>
      </c>
      <c r="G15">
        <f t="shared" si="5"/>
        <v>3.0429177372517149</v>
      </c>
      <c r="H15">
        <f t="shared" si="6"/>
        <v>52.059477890268063</v>
      </c>
      <c r="I15">
        <f t="shared" si="7"/>
        <v>38.43809225016745</v>
      </c>
      <c r="J15" s="23">
        <f t="shared" si="8"/>
        <v>5.0001390535102542E-3</v>
      </c>
      <c r="K15" s="23">
        <f t="shared" si="9"/>
        <v>1.443989553832294</v>
      </c>
      <c r="L15" s="23">
        <f t="shared" si="10"/>
        <v>24.704362307015561</v>
      </c>
      <c r="M15" s="23">
        <f t="shared" si="11"/>
        <v>18.24045487625105</v>
      </c>
      <c r="N15">
        <f t="shared" si="12"/>
        <v>5.5343602811979593E-3</v>
      </c>
      <c r="O15">
        <f t="shared" si="13"/>
        <v>1.2786561918540544E-2</v>
      </c>
      <c r="P15">
        <f t="shared" si="14"/>
        <v>4.2073881764191995E-2</v>
      </c>
      <c r="Q15">
        <f t="shared" si="15"/>
        <v>5.4449536960716957E-2</v>
      </c>
      <c r="R15">
        <f t="shared" si="16"/>
        <v>5.5343602811979591E-4</v>
      </c>
      <c r="S15">
        <f t="shared" si="17"/>
        <v>0.20433364636316315</v>
      </c>
      <c r="T15">
        <f t="shared" si="18"/>
        <v>4.8795177044363571</v>
      </c>
      <c r="U15">
        <f t="shared" si="19"/>
        <v>4.7952232601774512</v>
      </c>
      <c r="V15" s="23">
        <f t="shared" si="20"/>
        <v>2.3797097569392653E-4</v>
      </c>
      <c r="W15" s="23">
        <f t="shared" si="21"/>
        <v>8.786106202253656E-2</v>
      </c>
      <c r="X15" s="23">
        <f t="shared" si="22"/>
        <v>2.0981351593343693</v>
      </c>
      <c r="Y15" s="23">
        <f t="shared" si="23"/>
        <v>2.0618895408226541</v>
      </c>
      <c r="Z15">
        <f t="shared" si="24"/>
        <v>3.7250911604326108E-5</v>
      </c>
      <c r="AA15">
        <f t="shared" si="25"/>
        <v>9.355970154074084E-5</v>
      </c>
      <c r="AB15">
        <f t="shared" si="26"/>
        <v>3.4156697931544516E-4</v>
      </c>
      <c r="AC15">
        <f t="shared" si="27"/>
        <v>4.5116506304624911E-4</v>
      </c>
      <c r="AD15">
        <f t="shared" si="28"/>
        <v>3.7250911604326109E-6</v>
      </c>
      <c r="AE15">
        <f t="shared" si="29"/>
        <v>1.4961476776622074E-3</v>
      </c>
      <c r="AF15">
        <f t="shared" si="30"/>
        <v>3.9871915144984157E-2</v>
      </c>
      <c r="AG15">
        <f t="shared" si="31"/>
        <v>4.2543481334599169E-2</v>
      </c>
      <c r="AH15" s="23">
        <f t="shared" si="32"/>
        <v>1.4584545350533002E-6</v>
      </c>
      <c r="AI15" s="23">
        <f t="shared" si="33"/>
        <v>5.8577448755441921E-4</v>
      </c>
      <c r="AJ15" s="23">
        <f t="shared" si="34"/>
        <v>1.5610725472208079E-2</v>
      </c>
      <c r="AK15" s="23">
        <f t="shared" si="35"/>
        <v>1.665670197509897E-2</v>
      </c>
    </row>
    <row r="16" spans="1:37">
      <c r="A16" s="33">
        <f>(8)*t_max/(41-1)</f>
        <v>12</v>
      </c>
      <c r="B16">
        <f t="shared" si="0"/>
        <v>0.10863274994446701</v>
      </c>
      <c r="C16">
        <f t="shared" si="1"/>
        <v>0.20021408505069396</v>
      </c>
      <c r="D16">
        <f t="shared" si="2"/>
        <v>0.50083625365843099</v>
      </c>
      <c r="E16">
        <f t="shared" si="3"/>
        <v>0.61559387019971423</v>
      </c>
      <c r="F16">
        <f t="shared" si="4"/>
        <v>1.0863274994446701E-2</v>
      </c>
      <c r="G16">
        <f t="shared" si="5"/>
        <v>3.1925024777620212</v>
      </c>
      <c r="H16">
        <f t="shared" si="6"/>
        <v>56.874283744374544</v>
      </c>
      <c r="I16">
        <f t="shared" si="7"/>
        <v>44.365432836288733</v>
      </c>
      <c r="J16" s="23">
        <f t="shared" si="8"/>
        <v>5.1550705496745406E-3</v>
      </c>
      <c r="K16" s="23">
        <f t="shared" si="9"/>
        <v>1.5149736622967842</v>
      </c>
      <c r="L16" s="23">
        <f t="shared" si="10"/>
        <v>26.989185610631939</v>
      </c>
      <c r="M16" s="23">
        <f t="shared" si="11"/>
        <v>21.053221644009813</v>
      </c>
      <c r="N16">
        <f t="shared" si="12"/>
        <v>8.176967667488844E-3</v>
      </c>
      <c r="O16">
        <f t="shared" si="13"/>
        <v>2.0413086322194521E-2</v>
      </c>
      <c r="P16">
        <f t="shared" si="14"/>
        <v>7.5798355066194936E-2</v>
      </c>
      <c r="Q16">
        <f t="shared" si="15"/>
        <v>0.10084496029688002</v>
      </c>
      <c r="R16">
        <f t="shared" si="16"/>
        <v>8.1769676674888446E-4</v>
      </c>
      <c r="S16">
        <f t="shared" si="17"/>
        <v>0.32641745806707295</v>
      </c>
      <c r="T16">
        <f t="shared" si="18"/>
        <v>8.8569848174377928</v>
      </c>
      <c r="U16">
        <f t="shared" si="19"/>
        <v>9.7352783432478187</v>
      </c>
      <c r="V16" s="23">
        <f t="shared" si="20"/>
        <v>3.5159998178304513E-4</v>
      </c>
      <c r="W16" s="23">
        <f t="shared" si="21"/>
        <v>0.1403556635870816</v>
      </c>
      <c r="X16" s="23">
        <f t="shared" si="22"/>
        <v>3.808399185489483</v>
      </c>
      <c r="Y16" s="23">
        <f t="shared" si="23"/>
        <v>4.1860550601761037</v>
      </c>
      <c r="Z16">
        <f t="shared" si="24"/>
        <v>1.3990319487390215E-4</v>
      </c>
      <c r="AA16">
        <f t="shared" si="25"/>
        <v>3.9354962671162832E-4</v>
      </c>
      <c r="AB16">
        <f t="shared" si="26"/>
        <v>1.6913783416113966E-3</v>
      </c>
      <c r="AC16">
        <f t="shared" si="27"/>
        <v>2.3149982457329812E-3</v>
      </c>
      <c r="AD16">
        <f t="shared" si="28"/>
        <v>1.3990319487390216E-5</v>
      </c>
      <c r="AE16">
        <f t="shared" si="29"/>
        <v>6.2987355506823059E-3</v>
      </c>
      <c r="AF16">
        <f t="shared" si="30"/>
        <v>0.19920181760008085</v>
      </c>
      <c r="AG16">
        <f t="shared" si="31"/>
        <v>0.24302572412888698</v>
      </c>
      <c r="AH16" s="23">
        <f t="shared" si="32"/>
        <v>5.4775155894061906E-6</v>
      </c>
      <c r="AI16" s="23">
        <f t="shared" si="33"/>
        <v>2.4660925151499371E-3</v>
      </c>
      <c r="AJ16" s="23">
        <f t="shared" si="34"/>
        <v>7.7991861610162069E-2</v>
      </c>
      <c r="AK16" s="23">
        <f t="shared" si="35"/>
        <v>9.5149878009757105E-2</v>
      </c>
    </row>
    <row r="17" spans="1:37">
      <c r="A17" s="33">
        <f>(9)*t_max/(41-1)</f>
        <v>13.5</v>
      </c>
      <c r="B17">
        <f t="shared" si="0"/>
        <v>0.1099233215880358</v>
      </c>
      <c r="C17">
        <f t="shared" si="1"/>
        <v>0.20446703788812856</v>
      </c>
      <c r="D17">
        <f t="shared" si="2"/>
        <v>0.52347959031661806</v>
      </c>
      <c r="E17">
        <f t="shared" si="3"/>
        <v>0.64800885808409503</v>
      </c>
      <c r="F17">
        <f t="shared" si="4"/>
        <v>1.0992332158803582E-2</v>
      </c>
      <c r="G17">
        <f t="shared" si="5"/>
        <v>3.2606410750169394</v>
      </c>
      <c r="H17">
        <f t="shared" si="6"/>
        <v>59.566798276277524</v>
      </c>
      <c r="I17">
        <f t="shared" si="7"/>
        <v>48.191248826554563</v>
      </c>
      <c r="J17" s="23">
        <f t="shared" si="8"/>
        <v>5.2163134794117301E-3</v>
      </c>
      <c r="K17" s="23">
        <f t="shared" si="9"/>
        <v>1.5473082277187702</v>
      </c>
      <c r="L17" s="23">
        <f t="shared" si="10"/>
        <v>28.266894439238349</v>
      </c>
      <c r="M17" s="23">
        <f t="shared" si="11"/>
        <v>22.868728602084186</v>
      </c>
      <c r="N17">
        <f t="shared" si="12"/>
        <v>1.0133695842561012E-2</v>
      </c>
      <c r="O17">
        <f t="shared" si="13"/>
        <v>2.6902611543077732E-2</v>
      </c>
      <c r="P17">
        <f t="shared" si="14"/>
        <v>0.11066217789588836</v>
      </c>
      <c r="Q17">
        <f t="shared" si="15"/>
        <v>0.15085093588688969</v>
      </c>
      <c r="R17">
        <f t="shared" si="16"/>
        <v>1.0133695842561013E-3</v>
      </c>
      <c r="S17">
        <f t="shared" si="17"/>
        <v>0.43039324096809012</v>
      </c>
      <c r="T17">
        <f t="shared" si="18"/>
        <v>13.004121648149829</v>
      </c>
      <c r="U17">
        <f t="shared" si="19"/>
        <v>15.664956635356605</v>
      </c>
      <c r="V17" s="23">
        <f t="shared" si="20"/>
        <v>4.3573698937390755E-4</v>
      </c>
      <c r="W17" s="23">
        <f t="shared" si="21"/>
        <v>0.18506402597822511</v>
      </c>
      <c r="X17" s="23">
        <f t="shared" si="22"/>
        <v>5.5916191924947709</v>
      </c>
      <c r="Y17" s="23">
        <f t="shared" si="23"/>
        <v>6.7357469071600535</v>
      </c>
      <c r="Z17">
        <f t="shared" si="24"/>
        <v>3.3412753720512601E-4</v>
      </c>
      <c r="AA17">
        <f t="shared" si="25"/>
        <v>1.044122003498188E-3</v>
      </c>
      <c r="AB17">
        <f t="shared" si="26"/>
        <v>5.2351460502314305E-3</v>
      </c>
      <c r="AC17">
        <f t="shared" si="27"/>
        <v>7.4129259193887152E-3</v>
      </c>
      <c r="AD17">
        <f t="shared" si="28"/>
        <v>3.3412753720512603E-5</v>
      </c>
      <c r="AE17">
        <f t="shared" si="29"/>
        <v>1.6722883175729644E-2</v>
      </c>
      <c r="AF17">
        <f t="shared" si="30"/>
        <v>0.62097107390433326</v>
      </c>
      <c r="AG17">
        <f t="shared" si="31"/>
        <v>0.85182066531732226</v>
      </c>
      <c r="AH17" s="23">
        <f t="shared" si="32"/>
        <v>1.3081822724209867E-5</v>
      </c>
      <c r="AI17" s="23">
        <f t="shared" si="33"/>
        <v>6.5473739450652713E-3</v>
      </c>
      <c r="AJ17" s="23">
        <f t="shared" si="34"/>
        <v>0.2431237357336283</v>
      </c>
      <c r="AK17" s="23">
        <f t="shared" si="35"/>
        <v>0.33350639189186704</v>
      </c>
    </row>
    <row r="18" spans="1:37">
      <c r="A18" s="33">
        <f>(10)*t_max/(41-1)</f>
        <v>15</v>
      </c>
      <c r="B18">
        <f t="shared" si="0"/>
        <v>0.11041130788921415</v>
      </c>
      <c r="C18">
        <f t="shared" si="1"/>
        <v>0.20631886166596136</v>
      </c>
      <c r="D18">
        <f t="shared" si="2"/>
        <v>0.53549237712244913</v>
      </c>
      <c r="E18">
        <f t="shared" si="3"/>
        <v>0.66594930875310754</v>
      </c>
      <c r="F18">
        <f t="shared" si="4"/>
        <v>1.1041130788921416E-2</v>
      </c>
      <c r="G18">
        <f t="shared" si="5"/>
        <v>3.2903335473814748</v>
      </c>
      <c r="H18">
        <f t="shared" si="6"/>
        <v>61.005480299805555</v>
      </c>
      <c r="I18">
        <f t="shared" si="7"/>
        <v>50.521941850582728</v>
      </c>
      <c r="J18" s="23">
        <f t="shared" si="8"/>
        <v>5.2394704354046051E-3</v>
      </c>
      <c r="K18" s="23">
        <f t="shared" si="9"/>
        <v>1.5613985264465193</v>
      </c>
      <c r="L18" s="23">
        <f t="shared" si="10"/>
        <v>28.949608200385594</v>
      </c>
      <c r="M18" s="23">
        <f t="shared" si="11"/>
        <v>23.974738251535339</v>
      </c>
      <c r="N18">
        <f t="shared" si="12"/>
        <v>1.1350028460684305E-2</v>
      </c>
      <c r="O18">
        <f t="shared" si="13"/>
        <v>3.1541938061773515E-2</v>
      </c>
      <c r="P18">
        <f t="shared" si="14"/>
        <v>0.14097467999063257</v>
      </c>
      <c r="Q18">
        <f t="shared" si="15"/>
        <v>0.1961911743194894</v>
      </c>
      <c r="R18">
        <f t="shared" si="16"/>
        <v>1.1350028460684306E-3</v>
      </c>
      <c r="S18">
        <f t="shared" si="17"/>
        <v>0.50478300248806074</v>
      </c>
      <c r="T18">
        <f t="shared" si="18"/>
        <v>16.635272602866074</v>
      </c>
      <c r="U18">
        <f t="shared" si="19"/>
        <v>21.574586528938539</v>
      </c>
      <c r="V18" s="23">
        <f t="shared" si="20"/>
        <v>4.880378597900442E-4</v>
      </c>
      <c r="W18" s="23">
        <f t="shared" si="21"/>
        <v>0.21705074753426021</v>
      </c>
      <c r="X18" s="23">
        <f t="shared" si="22"/>
        <v>7.1529713482650026</v>
      </c>
      <c r="Y18" s="23">
        <f t="shared" si="23"/>
        <v>9.2768181788360611</v>
      </c>
      <c r="Z18">
        <f t="shared" si="24"/>
        <v>5.8983641896657654E-4</v>
      </c>
      <c r="AA18">
        <f t="shared" si="25"/>
        <v>2.0272581739311365E-3</v>
      </c>
      <c r="AB18">
        <f t="shared" si="26"/>
        <v>1.1730909057812175E-2</v>
      </c>
      <c r="AC18">
        <f t="shared" si="27"/>
        <v>1.7152266949484091E-2</v>
      </c>
      <c r="AD18">
        <f t="shared" si="28"/>
        <v>5.8983641896657654E-5</v>
      </c>
      <c r="AE18">
        <f t="shared" si="29"/>
        <v>3.248773326869453E-2</v>
      </c>
      <c r="AF18">
        <f t="shared" si="30"/>
        <v>1.3993817631547887</v>
      </c>
      <c r="AG18">
        <f t="shared" si="31"/>
        <v>2.1276450986878133</v>
      </c>
      <c r="AH18" s="23">
        <f t="shared" si="32"/>
        <v>2.3093383843027818E-5</v>
      </c>
      <c r="AI18" s="23">
        <f t="shared" si="33"/>
        <v>1.2719657017420978E-2</v>
      </c>
      <c r="AJ18" s="23">
        <f t="shared" si="34"/>
        <v>0.54788851892337642</v>
      </c>
      <c r="AK18" s="23">
        <f t="shared" si="35"/>
        <v>0.83301951805249097</v>
      </c>
    </row>
    <row r="19" spans="1:37">
      <c r="A19" s="33">
        <f>(11)*t_max/(41-1)</f>
        <v>16.5</v>
      </c>
      <c r="B19">
        <f t="shared" si="0"/>
        <v>0.11059040200148379</v>
      </c>
      <c r="C19">
        <f t="shared" si="1"/>
        <v>0.20710159164827077</v>
      </c>
      <c r="D19">
        <f t="shared" si="2"/>
        <v>0.54168006198799867</v>
      </c>
      <c r="E19">
        <f t="shared" si="3"/>
        <v>0.67559023319899336</v>
      </c>
      <c r="F19">
        <f t="shared" si="4"/>
        <v>1.105904020014838E-2</v>
      </c>
      <c r="G19">
        <f t="shared" si="5"/>
        <v>3.3028926179922879</v>
      </c>
      <c r="H19">
        <f t="shared" si="6"/>
        <v>61.750870722067262</v>
      </c>
      <c r="I19">
        <f t="shared" si="7"/>
        <v>51.885080699182801</v>
      </c>
      <c r="J19" s="23">
        <f t="shared" si="8"/>
        <v>5.2479691872474267E-3</v>
      </c>
      <c r="K19" s="23">
        <f t="shared" si="9"/>
        <v>1.5673583217265048</v>
      </c>
      <c r="L19" s="23">
        <f t="shared" si="10"/>
        <v>29.303326597073067</v>
      </c>
      <c r="M19" s="23">
        <f t="shared" si="11"/>
        <v>24.621603670769201</v>
      </c>
      <c r="N19">
        <f t="shared" si="12"/>
        <v>1.2018003686457127E-2</v>
      </c>
      <c r="O19">
        <f t="shared" si="13"/>
        <v>3.447346095748198E-2</v>
      </c>
      <c r="P19">
        <f t="shared" si="14"/>
        <v>0.1642855492650345</v>
      </c>
      <c r="Q19">
        <f t="shared" si="15"/>
        <v>0.23255740605815933</v>
      </c>
      <c r="R19">
        <f t="shared" si="16"/>
        <v>1.2018003686457127E-3</v>
      </c>
      <c r="S19">
        <f t="shared" si="17"/>
        <v>0.55182079996576849</v>
      </c>
      <c r="T19">
        <f t="shared" si="18"/>
        <v>19.443819979534805</v>
      </c>
      <c r="U19">
        <f t="shared" si="19"/>
        <v>26.728669116616533</v>
      </c>
      <c r="V19" s="23">
        <f t="shared" si="20"/>
        <v>5.1676000799506154E-4</v>
      </c>
      <c r="W19" s="23">
        <f t="shared" si="21"/>
        <v>0.2372764466060967</v>
      </c>
      <c r="X19" s="23">
        <f t="shared" si="22"/>
        <v>8.3606136511687179</v>
      </c>
      <c r="Y19" s="23">
        <f t="shared" si="23"/>
        <v>11.493013005117444</v>
      </c>
      <c r="Z19">
        <f t="shared" si="24"/>
        <v>8.4889398616645468E-4</v>
      </c>
      <c r="AA19">
        <f t="shared" si="25"/>
        <v>3.1716219605404253E-3</v>
      </c>
      <c r="AB19">
        <f t="shared" si="26"/>
        <v>2.0914407706838185E-2</v>
      </c>
      <c r="AC19">
        <f t="shared" si="27"/>
        <v>3.1507189639544922E-2</v>
      </c>
      <c r="AD19">
        <f t="shared" si="28"/>
        <v>8.4889398616645476E-5</v>
      </c>
      <c r="AE19">
        <f t="shared" si="29"/>
        <v>5.0850180145094473E-2</v>
      </c>
      <c r="AF19">
        <f t="shared" si="30"/>
        <v>2.5060979567002457</v>
      </c>
      <c r="AG19">
        <f t="shared" si="31"/>
        <v>4.1696101460982105</v>
      </c>
      <c r="AH19" s="23">
        <f t="shared" si="32"/>
        <v>3.3236053309368047E-5</v>
      </c>
      <c r="AI19" s="23">
        <f t="shared" si="33"/>
        <v>1.990895595485977E-2</v>
      </c>
      <c r="AJ19" s="23">
        <f t="shared" si="34"/>
        <v>0.98119207633372607</v>
      </c>
      <c r="AK19" s="23">
        <f t="shared" si="35"/>
        <v>1.632493425013243</v>
      </c>
    </row>
    <row r="20" spans="1:37">
      <c r="A20" s="33">
        <f>(12)*t_max/(41-1)</f>
        <v>18</v>
      </c>
      <c r="B20">
        <f t="shared" si="0"/>
        <v>0.11065478770750933</v>
      </c>
      <c r="C20">
        <f t="shared" si="1"/>
        <v>0.20742570288053808</v>
      </c>
      <c r="D20">
        <f t="shared" si="2"/>
        <v>0.54480277732243876</v>
      </c>
      <c r="E20">
        <f t="shared" si="3"/>
        <v>0.68066638476300756</v>
      </c>
      <c r="F20">
        <f t="shared" si="4"/>
        <v>1.1065478770750934E-2</v>
      </c>
      <c r="G20">
        <f t="shared" si="5"/>
        <v>3.3080961598682395</v>
      </c>
      <c r="H20">
        <f t="shared" si="6"/>
        <v>62.128842429530216</v>
      </c>
      <c r="I20">
        <f t="shared" si="7"/>
        <v>52.658978290054115</v>
      </c>
      <c r="J20" s="23">
        <f t="shared" si="8"/>
        <v>5.2510245536734994E-3</v>
      </c>
      <c r="K20" s="23">
        <f t="shared" si="9"/>
        <v>1.5698276162525504</v>
      </c>
      <c r="L20" s="23">
        <f t="shared" si="10"/>
        <v>29.482689709831284</v>
      </c>
      <c r="M20" s="23">
        <f t="shared" si="11"/>
        <v>24.988849890827538</v>
      </c>
      <c r="N20">
        <f t="shared" si="12"/>
        <v>1.2353082410585824E-2</v>
      </c>
      <c r="O20">
        <f t="shared" si="13"/>
        <v>3.6166039589588875E-2</v>
      </c>
      <c r="P20">
        <f t="shared" si="14"/>
        <v>0.18067282475153018</v>
      </c>
      <c r="Q20">
        <f t="shared" si="15"/>
        <v>0.25922390657850392</v>
      </c>
      <c r="R20">
        <f t="shared" si="16"/>
        <v>1.2353082410585824E-3</v>
      </c>
      <c r="S20">
        <f t="shared" si="17"/>
        <v>0.57899518388379745</v>
      </c>
      <c r="T20">
        <f t="shared" si="18"/>
        <v>21.427536679125414</v>
      </c>
      <c r="U20">
        <f t="shared" si="19"/>
        <v>30.801364460428921</v>
      </c>
      <c r="V20" s="23">
        <f t="shared" si="20"/>
        <v>5.3116799859626647E-4</v>
      </c>
      <c r="W20" s="23">
        <f t="shared" si="21"/>
        <v>0.24896111172778068</v>
      </c>
      <c r="X20" s="23">
        <f t="shared" si="22"/>
        <v>9.2135884748455918</v>
      </c>
      <c r="Y20" s="23">
        <f t="shared" si="23"/>
        <v>13.244224049262472</v>
      </c>
      <c r="Z20">
        <f t="shared" si="24"/>
        <v>1.0649440105969593E-3</v>
      </c>
      <c r="AA20">
        <f t="shared" si="25"/>
        <v>4.2688919588315354E-3</v>
      </c>
      <c r="AB20">
        <f t="shared" si="26"/>
        <v>3.1619415038129733E-2</v>
      </c>
      <c r="AC20">
        <f t="shared" si="27"/>
        <v>4.895568608085818E-2</v>
      </c>
      <c r="AD20">
        <f t="shared" si="28"/>
        <v>1.0649440105969593E-4</v>
      </c>
      <c r="AE20">
        <f t="shared" si="29"/>
        <v>6.8467245870742516E-2</v>
      </c>
      <c r="AF20">
        <f t="shared" si="30"/>
        <v>3.8021766114941768</v>
      </c>
      <c r="AG20">
        <f t="shared" si="31"/>
        <v>6.8417797301491587</v>
      </c>
      <c r="AH20" s="23">
        <f t="shared" si="32"/>
        <v>4.1694883559644439E-5</v>
      </c>
      <c r="AI20" s="23">
        <f t="shared" si="33"/>
        <v>2.6806421894705258E-2</v>
      </c>
      <c r="AJ20" s="23">
        <f t="shared" si="34"/>
        <v>1.4886351724781071</v>
      </c>
      <c r="AK20" s="23">
        <f t="shared" si="35"/>
        <v>2.6787061700022794</v>
      </c>
    </row>
    <row r="21" spans="1:37">
      <c r="A21" s="33">
        <f>(13)*t_max/(41-1)</f>
        <v>19.5</v>
      </c>
      <c r="B21">
        <f t="shared" si="0"/>
        <v>0.11067759858959869</v>
      </c>
      <c r="C21">
        <f t="shared" si="1"/>
        <v>0.20755796764949927</v>
      </c>
      <c r="D21">
        <f t="shared" si="2"/>
        <v>0.54635601493248642</v>
      </c>
      <c r="E21">
        <f t="shared" si="3"/>
        <v>0.6833006467304511</v>
      </c>
      <c r="F21">
        <f t="shared" si="4"/>
        <v>1.106775985895987E-2</v>
      </c>
      <c r="G21">
        <f t="shared" si="5"/>
        <v>3.3102207460513271</v>
      </c>
      <c r="H21">
        <f t="shared" si="6"/>
        <v>62.317580044374751</v>
      </c>
      <c r="I21">
        <f t="shared" si="7"/>
        <v>53.088665559249193</v>
      </c>
      <c r="J21" s="23">
        <f t="shared" si="8"/>
        <v>5.2521070237990476E-3</v>
      </c>
      <c r="K21" s="23">
        <f t="shared" si="9"/>
        <v>1.5708358197333865</v>
      </c>
      <c r="L21" s="23">
        <f t="shared" si="10"/>
        <v>29.572253466653997</v>
      </c>
      <c r="M21" s="23">
        <f t="shared" si="11"/>
        <v>25.192754163538112</v>
      </c>
      <c r="N21">
        <f t="shared" si="12"/>
        <v>1.2510133891352354E-2</v>
      </c>
      <c r="O21">
        <f t="shared" si="13"/>
        <v>3.7079328039000971E-2</v>
      </c>
      <c r="P21">
        <f t="shared" si="14"/>
        <v>0.19144223327032395</v>
      </c>
      <c r="Q21">
        <f t="shared" si="15"/>
        <v>0.27750487270169161</v>
      </c>
      <c r="R21">
        <f t="shared" si="16"/>
        <v>1.2510133891352356E-3</v>
      </c>
      <c r="S21">
        <f t="shared" si="17"/>
        <v>0.59366560054095485</v>
      </c>
      <c r="T21">
        <f t="shared" si="18"/>
        <v>22.736249008632385</v>
      </c>
      <c r="U21">
        <f t="shared" si="19"/>
        <v>33.787267351995801</v>
      </c>
      <c r="V21" s="23">
        <f t="shared" si="20"/>
        <v>5.379210273499525E-4</v>
      </c>
      <c r="W21" s="23">
        <f t="shared" si="21"/>
        <v>0.2552692181544633</v>
      </c>
      <c r="X21" s="23">
        <f t="shared" si="22"/>
        <v>9.7763193671828592</v>
      </c>
      <c r="Y21" s="23">
        <f t="shared" si="23"/>
        <v>14.528127135311076</v>
      </c>
      <c r="Z21">
        <f t="shared" si="24"/>
        <v>1.2203512431123108E-3</v>
      </c>
      <c r="AA21">
        <f t="shared" si="25"/>
        <v>5.1767665426366294E-3</v>
      </c>
      <c r="AB21">
        <f t="shared" si="26"/>
        <v>4.2394275115781657E-2</v>
      </c>
      <c r="AC21">
        <f t="shared" si="27"/>
        <v>6.727128545604788E-2</v>
      </c>
      <c r="AD21">
        <f t="shared" si="28"/>
        <v>1.2203512431123109E-4</v>
      </c>
      <c r="AE21">
        <f t="shared" si="29"/>
        <v>8.3050924833617895E-2</v>
      </c>
      <c r="AF21">
        <f t="shared" si="30"/>
        <v>5.1117005829072601</v>
      </c>
      <c r="AG21">
        <f t="shared" si="31"/>
        <v>9.8395899799109774</v>
      </c>
      <c r="AH21" s="23">
        <f t="shared" si="32"/>
        <v>4.7779416079266721E-5</v>
      </c>
      <c r="AI21" s="23">
        <f t="shared" si="33"/>
        <v>3.2516250676102615E-2</v>
      </c>
      <c r="AJ21" s="23">
        <f t="shared" si="34"/>
        <v>2.001342403687616</v>
      </c>
      <c r="AK21" s="23">
        <f t="shared" si="35"/>
        <v>3.8524143467134855</v>
      </c>
    </row>
    <row r="22" spans="1:37">
      <c r="A22" s="33">
        <f>(14)*t_max/(41-1)</f>
        <v>21</v>
      </c>
      <c r="B22">
        <f t="shared" si="0"/>
        <v>0.11068559518912495</v>
      </c>
      <c r="C22">
        <f t="shared" si="1"/>
        <v>0.20761137746375594</v>
      </c>
      <c r="D22">
        <f t="shared" si="2"/>
        <v>0.54712054236129881</v>
      </c>
      <c r="E22">
        <f t="shared" si="3"/>
        <v>0.68465346029977037</v>
      </c>
      <c r="F22">
        <f t="shared" si="4"/>
        <v>1.1068559518912495E-2</v>
      </c>
      <c r="G22">
        <f t="shared" si="5"/>
        <v>3.311079061065644</v>
      </c>
      <c r="H22">
        <f t="shared" si="6"/>
        <v>62.410776472674243</v>
      </c>
      <c r="I22">
        <f t="shared" si="7"/>
        <v>53.323200826996022</v>
      </c>
      <c r="J22" s="23">
        <f t="shared" si="8"/>
        <v>5.2524864953187901E-3</v>
      </c>
      <c r="K22" s="23">
        <f t="shared" si="9"/>
        <v>1.5712431254910801</v>
      </c>
      <c r="L22" s="23">
        <f t="shared" si="10"/>
        <v>29.616479002977727</v>
      </c>
      <c r="M22" s="23">
        <f t="shared" si="11"/>
        <v>25.304050789301499</v>
      </c>
      <c r="N22">
        <f t="shared" si="12"/>
        <v>1.2580009524674376E-2</v>
      </c>
      <c r="O22">
        <f t="shared" si="13"/>
        <v>3.7547195132380314E-2</v>
      </c>
      <c r="P22">
        <f t="shared" si="14"/>
        <v>0.19816311894933361</v>
      </c>
      <c r="Q22">
        <f t="shared" si="15"/>
        <v>0.28940638193864576</v>
      </c>
      <c r="R22">
        <f t="shared" si="16"/>
        <v>1.2580009524674378E-3</v>
      </c>
      <c r="S22">
        <f t="shared" si="17"/>
        <v>0.60118444916492009</v>
      </c>
      <c r="T22">
        <f t="shared" si="18"/>
        <v>23.555571660933136</v>
      </c>
      <c r="U22">
        <f t="shared" si="19"/>
        <v>35.852760985358678</v>
      </c>
      <c r="V22" s="23">
        <f t="shared" si="20"/>
        <v>5.4092559730817595E-4</v>
      </c>
      <c r="W22" s="23">
        <f t="shared" si="21"/>
        <v>0.25850223453255972</v>
      </c>
      <c r="X22" s="23">
        <f t="shared" si="22"/>
        <v>10.128618460609321</v>
      </c>
      <c r="Y22" s="23">
        <f t="shared" si="23"/>
        <v>15.41626507763268</v>
      </c>
      <c r="Z22">
        <f t="shared" si="24"/>
        <v>1.3200133729665351E-3</v>
      </c>
      <c r="AA22">
        <f t="shared" si="25"/>
        <v>5.8466917670931037E-3</v>
      </c>
      <c r="AB22">
        <f t="shared" si="26"/>
        <v>5.2070985783675555E-2</v>
      </c>
      <c r="AC22">
        <f t="shared" si="27"/>
        <v>8.4427403667998141E-2</v>
      </c>
      <c r="AD22">
        <f t="shared" si="28"/>
        <v>1.3200133729665352E-4</v>
      </c>
      <c r="AE22">
        <f t="shared" si="29"/>
        <v>9.381706879569468E-2</v>
      </c>
      <c r="AF22">
        <f t="shared" si="30"/>
        <v>6.2914530106380271</v>
      </c>
      <c r="AG22">
        <f t="shared" si="31"/>
        <v>12.821837422701103</v>
      </c>
      <c r="AH22" s="23">
        <f t="shared" si="32"/>
        <v>5.1681406097736068E-5</v>
      </c>
      <c r="AI22" s="23">
        <f t="shared" si="33"/>
        <v>3.6731431140224216E-2</v>
      </c>
      <c r="AJ22" s="23">
        <f t="shared" si="34"/>
        <v>2.4632412416919602</v>
      </c>
      <c r="AK22" s="23">
        <f t="shared" si="35"/>
        <v>5.02002934464638</v>
      </c>
    </row>
    <row r="23" spans="1:37">
      <c r="A23" s="33">
        <f>(15)*t_max/(41-1)</f>
        <v>22.5</v>
      </c>
      <c r="B23">
        <f t="shared" si="0"/>
        <v>0.1106883768719501</v>
      </c>
      <c r="C23">
        <f t="shared" si="1"/>
        <v>0.20763277916602624</v>
      </c>
      <c r="D23">
        <f t="shared" si="2"/>
        <v>0.54749397710046221</v>
      </c>
      <c r="E23">
        <f t="shared" si="3"/>
        <v>0.68534288508072227</v>
      </c>
      <c r="F23">
        <f t="shared" si="4"/>
        <v>1.1068837687195011E-2</v>
      </c>
      <c r="G23">
        <f t="shared" si="5"/>
        <v>3.3114231285318576</v>
      </c>
      <c r="H23">
        <f t="shared" si="6"/>
        <v>62.456417462335878</v>
      </c>
      <c r="I23">
        <f t="shared" si="7"/>
        <v>53.449521759644632</v>
      </c>
      <c r="J23" s="23">
        <f t="shared" si="8"/>
        <v>5.2526184976037166E-3</v>
      </c>
      <c r="K23" s="23">
        <f t="shared" si="9"/>
        <v>1.5714063996476384</v>
      </c>
      <c r="L23" s="23">
        <f t="shared" si="10"/>
        <v>29.638137528770635</v>
      </c>
      <c r="M23" s="23">
        <f t="shared" si="11"/>
        <v>25.363995264612782</v>
      </c>
      <c r="N23">
        <f t="shared" si="12"/>
        <v>1.2609859505225827E-2</v>
      </c>
      <c r="O23">
        <f t="shared" si="13"/>
        <v>3.777734992481472E-2</v>
      </c>
      <c r="P23">
        <f t="shared" si="14"/>
        <v>0.20219133155915894</v>
      </c>
      <c r="Q23">
        <f t="shared" si="15"/>
        <v>0.29684805902847428</v>
      </c>
      <c r="R23">
        <f t="shared" si="16"/>
        <v>1.2609859505225828E-3</v>
      </c>
      <c r="S23">
        <f t="shared" si="17"/>
        <v>0.60488458540580836</v>
      </c>
      <c r="T23">
        <f t="shared" si="18"/>
        <v>24.047915483254041</v>
      </c>
      <c r="U23">
        <f t="shared" si="19"/>
        <v>37.217390677544088</v>
      </c>
      <c r="V23" s="23">
        <f t="shared" si="20"/>
        <v>5.4220911132521704E-4</v>
      </c>
      <c r="W23" s="23">
        <f t="shared" si="21"/>
        <v>0.26009324954912105</v>
      </c>
      <c r="X23" s="23">
        <f t="shared" si="22"/>
        <v>10.340320507136045</v>
      </c>
      <c r="Y23" s="23">
        <f t="shared" si="23"/>
        <v>16.003039777526219</v>
      </c>
      <c r="Z23">
        <f t="shared" si="24"/>
        <v>1.3783842268817262E-3</v>
      </c>
      <c r="AA23">
        <f t="shared" si="25"/>
        <v>6.298277894877094E-3</v>
      </c>
      <c r="AB23">
        <f t="shared" si="26"/>
        <v>6.0012564292831333E-2</v>
      </c>
      <c r="AC23">
        <f t="shared" si="27"/>
        <v>9.9113681465355249E-2</v>
      </c>
      <c r="AD23">
        <f t="shared" si="28"/>
        <v>1.3783842268817262E-4</v>
      </c>
      <c r="AE23">
        <f t="shared" si="29"/>
        <v>0.10107715948888324</v>
      </c>
      <c r="AF23">
        <f t="shared" si="30"/>
        <v>7.2621585595656946</v>
      </c>
      <c r="AG23">
        <f t="shared" si="31"/>
        <v>15.518392206200994</v>
      </c>
      <c r="AH23" s="23">
        <f t="shared" si="32"/>
        <v>5.3966752494404046E-5</v>
      </c>
      <c r="AI23" s="23">
        <f t="shared" si="33"/>
        <v>3.957391518701716E-2</v>
      </c>
      <c r="AJ23" s="23">
        <f t="shared" si="34"/>
        <v>2.843293661636106</v>
      </c>
      <c r="AK23" s="23">
        <f t="shared" si="35"/>
        <v>6.0757894277253541</v>
      </c>
    </row>
    <row r="24" spans="1:37">
      <c r="A24" s="33">
        <f>(16)*t_max/(41-1)</f>
        <v>24</v>
      </c>
      <c r="B24">
        <f t="shared" si="0"/>
        <v>0.11068933897808662</v>
      </c>
      <c r="C24">
        <f t="shared" si="1"/>
        <v>0.20764130617764634</v>
      </c>
      <c r="D24">
        <f t="shared" si="2"/>
        <v>0.54767534868065071</v>
      </c>
      <c r="E24">
        <f t="shared" si="3"/>
        <v>0.68569224349422619</v>
      </c>
      <c r="F24">
        <f t="shared" si="4"/>
        <v>1.1068933897808664E-2</v>
      </c>
      <c r="G24">
        <f t="shared" si="5"/>
        <v>3.3115602607133217</v>
      </c>
      <c r="H24">
        <f t="shared" si="6"/>
        <v>62.478632048317607</v>
      </c>
      <c r="I24">
        <f t="shared" si="7"/>
        <v>53.516842689706607</v>
      </c>
      <c r="J24" s="23">
        <f t="shared" si="8"/>
        <v>5.2526641534948971E-3</v>
      </c>
      <c r="K24" s="23">
        <f t="shared" si="9"/>
        <v>1.5714714745049387</v>
      </c>
      <c r="L24" s="23">
        <f t="shared" si="10"/>
        <v>29.648679263010649</v>
      </c>
      <c r="M24" s="23">
        <f t="shared" si="11"/>
        <v>25.395941813339256</v>
      </c>
      <c r="N24">
        <f t="shared" si="12"/>
        <v>1.2622205783334008E-2</v>
      </c>
      <c r="O24">
        <f t="shared" si="13"/>
        <v>3.7886979339219584E-2</v>
      </c>
      <c r="P24">
        <f t="shared" si="14"/>
        <v>0.20452940628357061</v>
      </c>
      <c r="Q24">
        <f t="shared" si="15"/>
        <v>0.30135426057284814</v>
      </c>
      <c r="R24">
        <f t="shared" si="16"/>
        <v>1.2622205783334008E-3</v>
      </c>
      <c r="S24">
        <f t="shared" si="17"/>
        <v>0.60664766307768736</v>
      </c>
      <c r="T24">
        <f t="shared" si="18"/>
        <v>24.334292831792062</v>
      </c>
      <c r="U24">
        <f t="shared" si="19"/>
        <v>38.086297940645338</v>
      </c>
      <c r="V24" s="23">
        <f t="shared" si="20"/>
        <v>5.427399867468216E-4</v>
      </c>
      <c r="W24" s="23">
        <f t="shared" si="21"/>
        <v>0.26085135218878225</v>
      </c>
      <c r="X24" s="23">
        <f t="shared" si="22"/>
        <v>10.463459395075377</v>
      </c>
      <c r="Y24" s="23">
        <f t="shared" si="23"/>
        <v>16.37665966976602</v>
      </c>
      <c r="Z24">
        <f t="shared" si="24"/>
        <v>1.4101710684696356E-3</v>
      </c>
      <c r="AA24">
        <f t="shared" si="25"/>
        <v>6.581364958262852E-3</v>
      </c>
      <c r="AB24">
        <f t="shared" si="26"/>
        <v>6.6075216528908645E-2</v>
      </c>
      <c r="AC24">
        <f t="shared" si="27"/>
        <v>0.11080881165720899</v>
      </c>
      <c r="AD24">
        <f t="shared" si="28"/>
        <v>1.4101710684696355E-4</v>
      </c>
      <c r="AE24">
        <f t="shared" si="29"/>
        <v>0.10562984051930284</v>
      </c>
      <c r="AF24">
        <f t="shared" si="30"/>
        <v>8.0047680906861682</v>
      </c>
      <c r="AG24">
        <f t="shared" si="31"/>
        <v>17.775799087741227</v>
      </c>
      <c r="AH24" s="23">
        <f t="shared" si="32"/>
        <v>5.5211276756288775E-5</v>
      </c>
      <c r="AI24" s="23">
        <f t="shared" si="33"/>
        <v>4.1356389228456587E-2</v>
      </c>
      <c r="AJ24" s="23">
        <f t="shared" si="34"/>
        <v>3.1340415096191547</v>
      </c>
      <c r="AK24" s="23">
        <f t="shared" si="35"/>
        <v>6.9596135174049554</v>
      </c>
    </row>
    <row r="25" spans="1:37">
      <c r="A25" s="33">
        <f>(17)*t_max/(41-1)</f>
        <v>25.5</v>
      </c>
      <c r="B25">
        <f t="shared" si="0"/>
        <v>0.11068967032711841</v>
      </c>
      <c r="C25">
        <f t="shared" si="1"/>
        <v>0.20764468915211948</v>
      </c>
      <c r="D25">
        <f t="shared" si="2"/>
        <v>0.54776306604489799</v>
      </c>
      <c r="E25">
        <f t="shared" si="3"/>
        <v>0.6858685300417775</v>
      </c>
      <c r="F25">
        <f t="shared" si="4"/>
        <v>1.1068967032711841E-2</v>
      </c>
      <c r="G25">
        <f t="shared" si="5"/>
        <v>3.3116146820292358</v>
      </c>
      <c r="H25">
        <f t="shared" si="6"/>
        <v>62.489394598711371</v>
      </c>
      <c r="I25">
        <f t="shared" si="7"/>
        <v>53.552416592017209</v>
      </c>
      <c r="J25" s="23">
        <f t="shared" si="8"/>
        <v>5.252679877368556E-3</v>
      </c>
      <c r="K25" s="23">
        <f t="shared" si="9"/>
        <v>1.571497299656478</v>
      </c>
      <c r="L25" s="23">
        <f t="shared" si="10"/>
        <v>29.653786535596737</v>
      </c>
      <c r="M25" s="23">
        <f t="shared" si="11"/>
        <v>25.412823092348777</v>
      </c>
      <c r="N25">
        <f t="shared" si="12"/>
        <v>1.2627181249723353E-2</v>
      </c>
      <c r="O25">
        <f t="shared" si="13"/>
        <v>3.7937861666544802E-2</v>
      </c>
      <c r="P25">
        <f t="shared" si="14"/>
        <v>0.20585184456698519</v>
      </c>
      <c r="Q25">
        <f t="shared" si="15"/>
        <v>0.30401332987400709</v>
      </c>
      <c r="R25">
        <f t="shared" si="16"/>
        <v>1.2627181249723353E-3</v>
      </c>
      <c r="S25">
        <f t="shared" si="17"/>
        <v>0.60746620076218372</v>
      </c>
      <c r="T25">
        <f t="shared" si="18"/>
        <v>24.496553474253606</v>
      </c>
      <c r="U25">
        <f t="shared" si="19"/>
        <v>38.623170882227811</v>
      </c>
      <c r="V25" s="23">
        <f t="shared" si="20"/>
        <v>5.4295392594323191E-4</v>
      </c>
      <c r="W25" s="23">
        <f t="shared" si="21"/>
        <v>0.26120331375529537</v>
      </c>
      <c r="X25" s="23">
        <f t="shared" si="22"/>
        <v>10.533229560806147</v>
      </c>
      <c r="Y25" s="23">
        <f t="shared" si="23"/>
        <v>16.607508713269915</v>
      </c>
      <c r="Z25">
        <f t="shared" si="24"/>
        <v>1.4264856646111516E-3</v>
      </c>
      <c r="AA25">
        <f t="shared" si="25"/>
        <v>6.7486425034668524E-3</v>
      </c>
      <c r="AB25">
        <f t="shared" si="26"/>
        <v>7.0438783239658659E-2</v>
      </c>
      <c r="AC25">
        <f t="shared" si="27"/>
        <v>0.11958972555900034</v>
      </c>
      <c r="AD25">
        <f t="shared" si="28"/>
        <v>1.4264856646111518E-4</v>
      </c>
      <c r="AE25">
        <f t="shared" si="29"/>
        <v>0.10832082712051355</v>
      </c>
      <c r="AF25">
        <f t="shared" si="30"/>
        <v>8.5401850131536055</v>
      </c>
      <c r="AG25">
        <f t="shared" si="31"/>
        <v>19.550147098180837</v>
      </c>
      <c r="AH25" s="23">
        <f t="shared" si="32"/>
        <v>5.5850028821819276E-5</v>
      </c>
      <c r="AI25" s="23">
        <f t="shared" si="33"/>
        <v>4.2409969246575564E-2</v>
      </c>
      <c r="AJ25" s="23">
        <f t="shared" si="34"/>
        <v>3.3436689267979141</v>
      </c>
      <c r="AK25" s="23">
        <f t="shared" si="35"/>
        <v>7.6543095103717196</v>
      </c>
    </row>
    <row r="26" spans="1:37">
      <c r="A26" s="33">
        <f>(18)*t_max/(41-1)</f>
        <v>27</v>
      </c>
      <c r="B26">
        <f t="shared" si="0"/>
        <v>0.11068978408031599</v>
      </c>
      <c r="C26">
        <f t="shared" si="1"/>
        <v>0.20764602704154506</v>
      </c>
      <c r="D26">
        <f t="shared" si="2"/>
        <v>0.54780535508767969</v>
      </c>
      <c r="E26">
        <f t="shared" si="3"/>
        <v>0.68595720366336044</v>
      </c>
      <c r="F26">
        <f t="shared" si="4"/>
        <v>1.10689784080316E-2</v>
      </c>
      <c r="G26">
        <f t="shared" si="5"/>
        <v>3.3116362099183081</v>
      </c>
      <c r="H26">
        <f t="shared" si="6"/>
        <v>62.494590736613389</v>
      </c>
      <c r="I26">
        <f t="shared" si="7"/>
        <v>53.571085008390931</v>
      </c>
      <c r="J26" s="23">
        <f t="shared" si="8"/>
        <v>5.2526852754253952E-3</v>
      </c>
      <c r="K26" s="23">
        <f t="shared" si="9"/>
        <v>1.5715075155248059</v>
      </c>
      <c r="L26" s="23">
        <f t="shared" si="10"/>
        <v>29.656252316632791</v>
      </c>
      <c r="M26" s="23">
        <f t="shared" si="11"/>
        <v>25.421682023334728</v>
      </c>
      <c r="N26">
        <f t="shared" si="12"/>
        <v>1.2629144270050879E-2</v>
      </c>
      <c r="O26">
        <f t="shared" si="13"/>
        <v>3.7960983426475414E-2</v>
      </c>
      <c r="P26">
        <f t="shared" si="14"/>
        <v>0.20658422354287895</v>
      </c>
      <c r="Q26">
        <f t="shared" si="15"/>
        <v>0.30554970921570984</v>
      </c>
      <c r="R26">
        <f t="shared" si="16"/>
        <v>1.2629144270050879E-3</v>
      </c>
      <c r="S26">
        <f t="shared" si="17"/>
        <v>0.60783825237120159</v>
      </c>
      <c r="T26">
        <f t="shared" si="18"/>
        <v>24.586543549796911</v>
      </c>
      <c r="U26">
        <f t="shared" si="19"/>
        <v>38.946763854471556</v>
      </c>
      <c r="V26" s="23">
        <f t="shared" si="20"/>
        <v>5.4303833350596961E-4</v>
      </c>
      <c r="W26" s="23">
        <f t="shared" si="21"/>
        <v>0.26136329156647486</v>
      </c>
      <c r="X26" s="23">
        <f t="shared" si="22"/>
        <v>10.571924233707303</v>
      </c>
      <c r="Y26" s="23">
        <f t="shared" si="23"/>
        <v>16.746649881209699</v>
      </c>
      <c r="Z26">
        <f t="shared" si="24"/>
        <v>1.4344605016285367E-3</v>
      </c>
      <c r="AA26">
        <f t="shared" si="25"/>
        <v>6.8427921281873855E-3</v>
      </c>
      <c r="AB26">
        <f t="shared" si="26"/>
        <v>7.3430700797840961E-2</v>
      </c>
      <c r="AC26">
        <f t="shared" si="27"/>
        <v>0.12587056237738412</v>
      </c>
      <c r="AD26">
        <f t="shared" si="28"/>
        <v>1.4344605016285367E-4</v>
      </c>
      <c r="AE26">
        <f t="shared" si="29"/>
        <v>0.10983579201599436</v>
      </c>
      <c r="AF26">
        <f t="shared" si="30"/>
        <v>8.9078206527497201</v>
      </c>
      <c r="AG26">
        <f t="shared" si="31"/>
        <v>20.873909381986206</v>
      </c>
      <c r="AH26" s="23">
        <f t="shared" si="32"/>
        <v>5.6162261105900216E-5</v>
      </c>
      <c r="AI26" s="23">
        <f t="shared" si="33"/>
        <v>4.3003111085822235E-2</v>
      </c>
      <c r="AJ26" s="23">
        <f t="shared" si="34"/>
        <v>3.4876063078508666</v>
      </c>
      <c r="AK26" s="23">
        <f t="shared" si="35"/>
        <v>8.1725913518083839</v>
      </c>
    </row>
    <row r="27" spans="1:37">
      <c r="A27" s="33">
        <f>(19)*t_max/(41-1)</f>
        <v>28.5</v>
      </c>
      <c r="B27">
        <f t="shared" si="0"/>
        <v>0.11068982303921829</v>
      </c>
      <c r="C27">
        <f t="shared" si="1"/>
        <v>0.20764655489122505</v>
      </c>
      <c r="D27">
        <f t="shared" si="2"/>
        <v>0.54782569473560194</v>
      </c>
      <c r="E27">
        <f t="shared" si="3"/>
        <v>0.68600170202704869</v>
      </c>
      <c r="F27">
        <f t="shared" si="4"/>
        <v>1.106898230392183E-2</v>
      </c>
      <c r="G27">
        <f t="shared" si="5"/>
        <v>3.3116447053948748</v>
      </c>
      <c r="H27">
        <f t="shared" si="6"/>
        <v>62.497092849701176</v>
      </c>
      <c r="I27">
        <f t="shared" si="7"/>
        <v>53.580826216620963</v>
      </c>
      <c r="J27" s="23">
        <f t="shared" si="8"/>
        <v>5.2526871241854612E-3</v>
      </c>
      <c r="K27" s="23">
        <f t="shared" si="9"/>
        <v>1.5715115469776668</v>
      </c>
      <c r="L27" s="23">
        <f t="shared" si="10"/>
        <v>29.657439672149188</v>
      </c>
      <c r="M27" s="23">
        <f t="shared" si="11"/>
        <v>25.426304627079048</v>
      </c>
      <c r="N27">
        <f t="shared" si="12"/>
        <v>1.2629905347931895E-2</v>
      </c>
      <c r="O27">
        <f t="shared" si="13"/>
        <v>3.7971308765573676E-2</v>
      </c>
      <c r="P27">
        <f t="shared" si="14"/>
        <v>0.20698283407363544</v>
      </c>
      <c r="Q27">
        <f t="shared" si="15"/>
        <v>0.30642212727478257</v>
      </c>
      <c r="R27">
        <f t="shared" si="16"/>
        <v>1.2629905347931896E-3</v>
      </c>
      <c r="S27">
        <f t="shared" si="17"/>
        <v>0.60800443385796488</v>
      </c>
      <c r="T27">
        <f t="shared" si="18"/>
        <v>24.635579728635804</v>
      </c>
      <c r="U27">
        <f t="shared" si="19"/>
        <v>39.137814383279149</v>
      </c>
      <c r="V27" s="23">
        <f t="shared" si="20"/>
        <v>5.4307105895872701E-4</v>
      </c>
      <c r="W27" s="23">
        <f t="shared" si="21"/>
        <v>0.26143474764908964</v>
      </c>
      <c r="X27" s="23">
        <f t="shared" si="22"/>
        <v>10.593009213234634</v>
      </c>
      <c r="Y27" s="23">
        <f t="shared" si="23"/>
        <v>16.828799359084567</v>
      </c>
      <c r="Z27">
        <f t="shared" si="24"/>
        <v>1.4382036157132296E-3</v>
      </c>
      <c r="AA27">
        <f t="shared" si="25"/>
        <v>6.8936785565835781E-3</v>
      </c>
      <c r="AB27">
        <f t="shared" si="26"/>
        <v>7.540090677908276E-2</v>
      </c>
      <c r="AC27">
        <f t="shared" si="27"/>
        <v>0.13018535951408625</v>
      </c>
      <c r="AD27">
        <f t="shared" si="28"/>
        <v>1.4382036157132297E-4</v>
      </c>
      <c r="AE27">
        <f t="shared" si="29"/>
        <v>0.11065478765001921</v>
      </c>
      <c r="AF27">
        <f t="shared" si="30"/>
        <v>9.1501947760993296</v>
      </c>
      <c r="AG27">
        <f t="shared" si="31"/>
        <v>21.819329341467764</v>
      </c>
      <c r="AH27" s="23">
        <f t="shared" si="32"/>
        <v>5.6308812196247449E-5</v>
      </c>
      <c r="AI27" s="23">
        <f t="shared" si="33"/>
        <v>4.3323765761154716E-2</v>
      </c>
      <c r="AJ27" s="23">
        <f t="shared" si="34"/>
        <v>3.582501069926368</v>
      </c>
      <c r="AK27" s="23">
        <f t="shared" si="35"/>
        <v>8.5427439113166592</v>
      </c>
    </row>
    <row r="28" spans="1:37">
      <c r="A28" s="33">
        <f>(20)*t_max/(41-1)</f>
        <v>30</v>
      </c>
      <c r="B28">
        <f t="shared" si="0"/>
        <v>0.11068983635847612</v>
      </c>
      <c r="C28">
        <f t="shared" si="1"/>
        <v>0.20764676278097294</v>
      </c>
      <c r="D28">
        <f t="shared" si="2"/>
        <v>0.54783546025610919</v>
      </c>
      <c r="E28">
        <f t="shared" si="3"/>
        <v>0.68602399309150741</v>
      </c>
      <c r="F28">
        <f t="shared" si="4"/>
        <v>1.1068983635847613E-2</v>
      </c>
      <c r="G28">
        <f t="shared" si="5"/>
        <v>3.311648051920081</v>
      </c>
      <c r="H28">
        <f t="shared" si="6"/>
        <v>62.498295328631038</v>
      </c>
      <c r="I28">
        <f t="shared" si="7"/>
        <v>53.585885268365459</v>
      </c>
      <c r="J28" s="23">
        <f t="shared" si="8"/>
        <v>5.2526877562389974E-3</v>
      </c>
      <c r="K28" s="23">
        <f t="shared" si="9"/>
        <v>1.5715131350414453</v>
      </c>
      <c r="L28" s="23">
        <f t="shared" si="10"/>
        <v>29.658010297832611</v>
      </c>
      <c r="M28" s="23">
        <f t="shared" si="11"/>
        <v>25.428705355098053</v>
      </c>
      <c r="N28">
        <f t="shared" si="12"/>
        <v>1.2630196166026522E-2</v>
      </c>
      <c r="O28">
        <f t="shared" si="13"/>
        <v>3.7975853291590457E-2</v>
      </c>
      <c r="P28">
        <f t="shared" si="14"/>
        <v>0.20719666998120681</v>
      </c>
      <c r="Q28">
        <f t="shared" si="15"/>
        <v>0.30691041264334096</v>
      </c>
      <c r="R28">
        <f t="shared" si="16"/>
        <v>1.2630196166026524E-3</v>
      </c>
      <c r="S28">
        <f t="shared" si="17"/>
        <v>0.60807758991203054</v>
      </c>
      <c r="T28">
        <f t="shared" si="18"/>
        <v>24.661910641727005</v>
      </c>
      <c r="U28">
        <f t="shared" si="19"/>
        <v>39.248665710996676</v>
      </c>
      <c r="V28" s="23">
        <f t="shared" si="20"/>
        <v>5.4308356379437412E-4</v>
      </c>
      <c r="W28" s="23">
        <f t="shared" si="21"/>
        <v>0.26146620389096653</v>
      </c>
      <c r="X28" s="23">
        <f t="shared" si="22"/>
        <v>10.604331195832176</v>
      </c>
      <c r="Y28" s="23">
        <f t="shared" si="23"/>
        <v>16.876464124791141</v>
      </c>
      <c r="Z28">
        <f t="shared" si="24"/>
        <v>1.4399015576436664E-3</v>
      </c>
      <c r="AA28">
        <f t="shared" si="25"/>
        <v>6.9202608834119522E-3</v>
      </c>
      <c r="AB28">
        <f t="shared" si="26"/>
        <v>7.665497829272816E-2</v>
      </c>
      <c r="AC28">
        <f t="shared" si="27"/>
        <v>0.13305059765325991</v>
      </c>
      <c r="AD28">
        <f t="shared" si="28"/>
        <v>1.4399015576436664E-4</v>
      </c>
      <c r="AE28">
        <f t="shared" si="29"/>
        <v>0.11108270085200475</v>
      </c>
      <c r="AF28">
        <f t="shared" si="30"/>
        <v>9.3046179857309852</v>
      </c>
      <c r="AG28">
        <f t="shared" si="31"/>
        <v>22.470100483297603</v>
      </c>
      <c r="AH28" s="23">
        <f t="shared" si="32"/>
        <v>5.6375290330662148E-5</v>
      </c>
      <c r="AI28" s="23">
        <f t="shared" si="33"/>
        <v>4.349130312417928E-2</v>
      </c>
      <c r="AJ28" s="23">
        <f t="shared" si="34"/>
        <v>3.642961128675271</v>
      </c>
      <c r="AK28" s="23">
        <f t="shared" si="35"/>
        <v>8.7975350243946338</v>
      </c>
    </row>
    <row r="29" spans="1:37">
      <c r="A29" s="33">
        <f>(21)*t_max/(41-1)</f>
        <v>31.5</v>
      </c>
      <c r="B29">
        <f t="shared" si="0"/>
        <v>0.11068984090611862</v>
      </c>
      <c r="C29">
        <f t="shared" si="1"/>
        <v>0.20764684455037433</v>
      </c>
      <c r="D29">
        <f t="shared" si="2"/>
        <v>0.54784014283477245</v>
      </c>
      <c r="E29">
        <f t="shared" si="3"/>
        <v>0.68603514517201347</v>
      </c>
      <c r="F29">
        <f t="shared" si="4"/>
        <v>1.1068984090611862E-2</v>
      </c>
      <c r="G29">
        <f t="shared" si="5"/>
        <v>3.3116493684306709</v>
      </c>
      <c r="H29">
        <f t="shared" si="6"/>
        <v>62.498872374435166</v>
      </c>
      <c r="I29">
        <f t="shared" si="7"/>
        <v>53.5885023229986</v>
      </c>
      <c r="J29" s="23">
        <f t="shared" si="8"/>
        <v>5.2526879720433284E-3</v>
      </c>
      <c r="K29" s="23">
        <f t="shared" si="9"/>
        <v>1.571513759779839</v>
      </c>
      <c r="L29" s="23">
        <f t="shared" si="10"/>
        <v>29.658284129787727</v>
      </c>
      <c r="M29" s="23">
        <f t="shared" si="11"/>
        <v>25.429947255102711</v>
      </c>
      <c r="N29">
        <f t="shared" si="12"/>
        <v>1.2630305944502393E-2</v>
      </c>
      <c r="O29">
        <f t="shared" si="13"/>
        <v>3.7977829289873491E-2</v>
      </c>
      <c r="P29">
        <f t="shared" si="14"/>
        <v>0.20730999889058424</v>
      </c>
      <c r="Q29">
        <f t="shared" si="15"/>
        <v>0.30718040664335539</v>
      </c>
      <c r="R29">
        <f t="shared" si="16"/>
        <v>1.2630305944502393E-3</v>
      </c>
      <c r="S29">
        <f t="shared" si="17"/>
        <v>0.60810940408308212</v>
      </c>
      <c r="T29">
        <f t="shared" si="18"/>
        <v>24.675876521280053</v>
      </c>
      <c r="U29">
        <f t="shared" si="19"/>
        <v>39.312040880020042</v>
      </c>
      <c r="V29" s="23">
        <f t="shared" si="20"/>
        <v>5.4308828413957846E-4</v>
      </c>
      <c r="W29" s="23">
        <f t="shared" si="21"/>
        <v>0.26147988360992475</v>
      </c>
      <c r="X29" s="23">
        <f t="shared" si="22"/>
        <v>10.61033635959962</v>
      </c>
      <c r="Y29" s="23">
        <f t="shared" si="23"/>
        <v>16.90371470126426</v>
      </c>
      <c r="Z29">
        <f t="shared" si="24"/>
        <v>1.4406498085446843E-3</v>
      </c>
      <c r="AA29">
        <f t="shared" si="25"/>
        <v>6.9337518191344991E-3</v>
      </c>
      <c r="AB29">
        <f t="shared" si="26"/>
        <v>7.7430553690732221E-2</v>
      </c>
      <c r="AC29">
        <f t="shared" si="27"/>
        <v>0.13489926687243178</v>
      </c>
      <c r="AD29">
        <f t="shared" si="28"/>
        <v>1.4406498085446843E-4</v>
      </c>
      <c r="AE29">
        <f t="shared" si="29"/>
        <v>0.11129990940242833</v>
      </c>
      <c r="AF29">
        <f t="shared" si="30"/>
        <v>9.400195405652024</v>
      </c>
      <c r="AG29">
        <f t="shared" si="31"/>
        <v>22.90420297581613</v>
      </c>
      <c r="AH29" s="23">
        <f t="shared" si="32"/>
        <v>5.6404585987411139E-5</v>
      </c>
      <c r="AI29" s="23">
        <f t="shared" si="33"/>
        <v>4.3576345014907349E-2</v>
      </c>
      <c r="AJ29" s="23">
        <f t="shared" si="34"/>
        <v>3.6803817757222936</v>
      </c>
      <c r="AK29" s="23">
        <f t="shared" si="35"/>
        <v>8.9674956298199398</v>
      </c>
    </row>
    <row r="30" spans="1:37">
      <c r="A30" s="33">
        <f>(22)*t_max/(41-1)</f>
        <v>33</v>
      </c>
      <c r="B30">
        <f t="shared" si="0"/>
        <v>0.11068984245736958</v>
      </c>
      <c r="C30">
        <f t="shared" si="1"/>
        <v>0.20764687668250617</v>
      </c>
      <c r="D30">
        <f t="shared" si="2"/>
        <v>0.5478423860342817</v>
      </c>
      <c r="E30">
        <f t="shared" si="3"/>
        <v>0.68604071926981247</v>
      </c>
      <c r="F30">
        <f t="shared" si="4"/>
        <v>1.1068984245736959E-2</v>
      </c>
      <c r="G30">
        <f t="shared" si="5"/>
        <v>3.3116498858420957</v>
      </c>
      <c r="H30">
        <f t="shared" si="6"/>
        <v>62.499148988601931</v>
      </c>
      <c r="I30">
        <f t="shared" si="7"/>
        <v>53.58985164400795</v>
      </c>
      <c r="J30" s="23">
        <f t="shared" si="8"/>
        <v>5.2526880456565629E-3</v>
      </c>
      <c r="K30" s="23">
        <f t="shared" si="9"/>
        <v>1.5715140053128296</v>
      </c>
      <c r="L30" s="23">
        <f t="shared" si="10"/>
        <v>29.658415394580842</v>
      </c>
      <c r="M30" s="23">
        <f t="shared" si="11"/>
        <v>25.430587563389199</v>
      </c>
      <c r="N30">
        <f t="shared" si="12"/>
        <v>1.2630346958706283E-2</v>
      </c>
      <c r="O30">
        <f t="shared" si="13"/>
        <v>3.7978679672026477E-2</v>
      </c>
      <c r="P30">
        <f t="shared" si="14"/>
        <v>0.20736944755843176</v>
      </c>
      <c r="Q30">
        <f t="shared" si="15"/>
        <v>0.30732817396104722</v>
      </c>
      <c r="R30">
        <f t="shared" si="16"/>
        <v>1.2630346958706284E-3</v>
      </c>
      <c r="S30">
        <f t="shared" si="17"/>
        <v>0.60812309747420745</v>
      </c>
      <c r="T30">
        <f t="shared" si="18"/>
        <v>24.68320730515369</v>
      </c>
      <c r="U30">
        <f t="shared" si="19"/>
        <v>39.347818417586858</v>
      </c>
      <c r="V30" s="23">
        <f t="shared" si="20"/>
        <v>5.4309004770205387E-4</v>
      </c>
      <c r="W30" s="23">
        <f t="shared" si="21"/>
        <v>0.26148577160687669</v>
      </c>
      <c r="X30" s="23">
        <f t="shared" si="22"/>
        <v>10.613488510349431</v>
      </c>
      <c r="Y30" s="23">
        <f t="shared" si="23"/>
        <v>16.919098621157634</v>
      </c>
      <c r="Z30">
        <f t="shared" si="24"/>
        <v>1.4409714971892471E-3</v>
      </c>
      <c r="AA30">
        <f t="shared" si="25"/>
        <v>6.9404317849578318E-3</v>
      </c>
      <c r="AB30">
        <f t="shared" si="26"/>
        <v>7.7898542710201954E-2</v>
      </c>
      <c r="AC30">
        <f t="shared" si="27"/>
        <v>0.13606305356137016</v>
      </c>
      <c r="AD30">
        <f t="shared" si="28"/>
        <v>1.4409714971892472E-4</v>
      </c>
      <c r="AE30">
        <f t="shared" si="29"/>
        <v>0.11140747459111494</v>
      </c>
      <c r="AF30">
        <f t="shared" si="30"/>
        <v>9.4579048249420286</v>
      </c>
      <c r="AG30">
        <f t="shared" si="31"/>
        <v>23.18607202199356</v>
      </c>
      <c r="AH30" s="23">
        <f t="shared" si="32"/>
        <v>5.6417180800325285E-5</v>
      </c>
      <c r="AI30" s="23">
        <f t="shared" si="33"/>
        <v>4.3618459135205991E-2</v>
      </c>
      <c r="AJ30" s="23">
        <f t="shared" si="34"/>
        <v>3.7029762735893001</v>
      </c>
      <c r="AK30" s="23">
        <f t="shared" si="35"/>
        <v>9.077853516643005</v>
      </c>
    </row>
    <row r="31" spans="1:37">
      <c r="A31" s="33">
        <f>(23)*t_max/(41-1)</f>
        <v>34.5</v>
      </c>
      <c r="B31">
        <f t="shared" si="0"/>
        <v>0.11068984298616649</v>
      </c>
      <c r="C31">
        <f t="shared" si="1"/>
        <v>0.2076468893007978</v>
      </c>
      <c r="D31">
        <f t="shared" si="2"/>
        <v>0.54784345993640982</v>
      </c>
      <c r="E31">
        <f t="shared" si="3"/>
        <v>0.68604350351590426</v>
      </c>
      <c r="F31">
        <f t="shared" si="4"/>
        <v>1.1068984298616649E-2</v>
      </c>
      <c r="G31">
        <f t="shared" si="5"/>
        <v>3.3116500890551763</v>
      </c>
      <c r="H31">
        <f t="shared" si="6"/>
        <v>62.499281484330091</v>
      </c>
      <c r="I31">
        <f t="shared" si="7"/>
        <v>53.590545385715039</v>
      </c>
      <c r="J31" s="23">
        <f t="shared" si="8"/>
        <v>5.2526880707501498E-3</v>
      </c>
      <c r="K31" s="23">
        <f t="shared" si="9"/>
        <v>1.5715141017457901</v>
      </c>
      <c r="L31" s="23">
        <f t="shared" si="10"/>
        <v>29.658478269250455</v>
      </c>
      <c r="M31" s="23">
        <f t="shared" si="11"/>
        <v>25.430916772347373</v>
      </c>
      <c r="N31">
        <f t="shared" si="12"/>
        <v>1.2630362148016149E-2</v>
      </c>
      <c r="O31">
        <f t="shared" si="13"/>
        <v>3.7979042445183839E-2</v>
      </c>
      <c r="P31">
        <f t="shared" si="14"/>
        <v>0.20740036094358852</v>
      </c>
      <c r="Q31">
        <f t="shared" si="15"/>
        <v>0.30740834319893262</v>
      </c>
      <c r="R31">
        <f t="shared" si="16"/>
        <v>1.263036214801615E-3</v>
      </c>
      <c r="S31">
        <f t="shared" si="17"/>
        <v>0.60812893981063454</v>
      </c>
      <c r="T31">
        <f t="shared" si="18"/>
        <v>24.687021343575282</v>
      </c>
      <c r="U31">
        <f t="shared" si="19"/>
        <v>39.367797504195195</v>
      </c>
      <c r="V31" s="23">
        <f t="shared" si="20"/>
        <v>5.4309070082449358E-4</v>
      </c>
      <c r="W31" s="23">
        <f t="shared" si="21"/>
        <v>0.26148828374275013</v>
      </c>
      <c r="X31" s="23">
        <f t="shared" si="22"/>
        <v>10.615128501962561</v>
      </c>
      <c r="Y31" s="23">
        <f t="shared" si="23"/>
        <v>16.927689393156726</v>
      </c>
      <c r="Z31">
        <f t="shared" si="24"/>
        <v>1.4411068871269016E-3</v>
      </c>
      <c r="AA31">
        <f t="shared" si="25"/>
        <v>6.9436698397140461E-3</v>
      </c>
      <c r="AB31">
        <f t="shared" si="26"/>
        <v>7.8175012136017227E-2</v>
      </c>
      <c r="AC31">
        <f t="shared" si="27"/>
        <v>0.13678033915790699</v>
      </c>
      <c r="AD31">
        <f t="shared" si="28"/>
        <v>1.4411068871269018E-4</v>
      </c>
      <c r="AE31">
        <f t="shared" si="29"/>
        <v>0.11145962240439017</v>
      </c>
      <c r="AF31">
        <f t="shared" si="30"/>
        <v>9.4920152921930985</v>
      </c>
      <c r="AG31">
        <f t="shared" si="31"/>
        <v>23.364877430096143</v>
      </c>
      <c r="AH31" s="23">
        <f t="shared" si="32"/>
        <v>5.6422481612038847E-5</v>
      </c>
      <c r="AI31" s="23">
        <f t="shared" si="33"/>
        <v>4.3638876142868037E-2</v>
      </c>
      <c r="AJ31" s="23">
        <f t="shared" si="34"/>
        <v>3.7163312663968671</v>
      </c>
      <c r="AK31" s="23">
        <f t="shared" si="35"/>
        <v>9.1478597385334197</v>
      </c>
    </row>
    <row r="32" spans="1:37">
      <c r="A32" s="33">
        <f>(24)*t_max/(41-1)</f>
        <v>36</v>
      </c>
      <c r="B32">
        <f t="shared" si="0"/>
        <v>0.11068984316634463</v>
      </c>
      <c r="C32">
        <f t="shared" si="1"/>
        <v>0.20764689425380298</v>
      </c>
      <c r="D32">
        <f t="shared" si="2"/>
        <v>0.54784397382624184</v>
      </c>
      <c r="E32">
        <f t="shared" si="3"/>
        <v>0.68604489362683541</v>
      </c>
      <c r="F32">
        <f t="shared" si="4"/>
        <v>1.1068984316634464E-2</v>
      </c>
      <c r="G32">
        <f t="shared" si="5"/>
        <v>3.3116501688302642</v>
      </c>
      <c r="H32">
        <f t="shared" si="6"/>
        <v>62.49934491456716</v>
      </c>
      <c r="I32">
        <f t="shared" si="7"/>
        <v>53.590901215439864</v>
      </c>
      <c r="J32" s="23">
        <f t="shared" si="8"/>
        <v>5.2526880793003442E-3</v>
      </c>
      <c r="K32" s="23">
        <f t="shared" si="9"/>
        <v>1.5715141396023486</v>
      </c>
      <c r="L32" s="23">
        <f t="shared" si="10"/>
        <v>29.658508369505419</v>
      </c>
      <c r="M32" s="23">
        <f t="shared" si="11"/>
        <v>25.431085628179165</v>
      </c>
      <c r="N32">
        <f t="shared" si="12"/>
        <v>1.2630367731106432E-2</v>
      </c>
      <c r="O32">
        <f t="shared" si="13"/>
        <v>3.7979196046373634E-2</v>
      </c>
      <c r="P32">
        <f t="shared" si="14"/>
        <v>0.20741631596266122</v>
      </c>
      <c r="Q32">
        <f t="shared" si="15"/>
        <v>0.3074515135071873</v>
      </c>
      <c r="R32">
        <f t="shared" si="16"/>
        <v>1.2630367731106434E-3</v>
      </c>
      <c r="S32">
        <f t="shared" si="17"/>
        <v>0.60813141377445235</v>
      </c>
      <c r="T32">
        <f t="shared" si="18"/>
        <v>24.688990701403586</v>
      </c>
      <c r="U32">
        <f t="shared" si="19"/>
        <v>39.378849593053339</v>
      </c>
      <c r="V32" s="23">
        <f t="shared" si="20"/>
        <v>5.4309094089080199E-4</v>
      </c>
      <c r="W32" s="23">
        <f t="shared" si="21"/>
        <v>0.26148934751806224</v>
      </c>
      <c r="X32" s="23">
        <f t="shared" si="22"/>
        <v>10.615975302640653</v>
      </c>
      <c r="Y32" s="23">
        <f t="shared" si="23"/>
        <v>16.932441661233604</v>
      </c>
      <c r="Z32">
        <f t="shared" si="24"/>
        <v>1.4411628290079211E-3</v>
      </c>
      <c r="AA32">
        <f t="shared" si="25"/>
        <v>6.9452108554517835E-3</v>
      </c>
      <c r="AB32">
        <f t="shared" si="26"/>
        <v>7.8335369807244509E-2</v>
      </c>
      <c r="AC32">
        <f t="shared" si="27"/>
        <v>0.1372143953395403</v>
      </c>
      <c r="AD32">
        <f t="shared" si="28"/>
        <v>1.4411628290079211E-4</v>
      </c>
      <c r="AE32">
        <f t="shared" si="29"/>
        <v>0.11148444265901049</v>
      </c>
      <c r="AF32">
        <f t="shared" si="30"/>
        <v>9.5118086098026566</v>
      </c>
      <c r="AG32">
        <f t="shared" si="31"/>
        <v>23.476027142938875</v>
      </c>
      <c r="AH32" s="23">
        <f t="shared" si="32"/>
        <v>5.6424671858842432E-5</v>
      </c>
      <c r="AI32" s="23">
        <f t="shared" si="33"/>
        <v>4.3648593814557976E-2</v>
      </c>
      <c r="AJ32" s="23">
        <f t="shared" si="34"/>
        <v>3.7240807824726181</v>
      </c>
      <c r="AK32" s="23">
        <f t="shared" si="35"/>
        <v>9.1913772783153256</v>
      </c>
    </row>
    <row r="33" spans="1:37">
      <c r="A33" s="33">
        <f>(25)*t_max/(41-1)</f>
        <v>37.5</v>
      </c>
      <c r="B33">
        <f t="shared" si="0"/>
        <v>0.1106898432277203</v>
      </c>
      <c r="C33">
        <f t="shared" si="1"/>
        <v>0.20764689619745622</v>
      </c>
      <c r="D33">
        <f t="shared" si="2"/>
        <v>0.54784421966942831</v>
      </c>
      <c r="E33">
        <f t="shared" si="3"/>
        <v>0.686045587490832</v>
      </c>
      <c r="F33">
        <f t="shared" si="4"/>
        <v>1.106898432277203E-2</v>
      </c>
      <c r="G33">
        <f t="shared" si="5"/>
        <v>3.3116502001384895</v>
      </c>
      <c r="H33">
        <f t="shared" si="6"/>
        <v>62.499375270220717</v>
      </c>
      <c r="I33">
        <f t="shared" si="7"/>
        <v>53.591083352904612</v>
      </c>
      <c r="J33" s="23">
        <f t="shared" si="8"/>
        <v>5.2526880822128712E-3</v>
      </c>
      <c r="K33" s="23">
        <f t="shared" si="9"/>
        <v>1.5715141544593885</v>
      </c>
      <c r="L33" s="23">
        <f t="shared" si="10"/>
        <v>29.658522774510885</v>
      </c>
      <c r="M33" s="23">
        <f t="shared" si="11"/>
        <v>25.431172059893449</v>
      </c>
      <c r="N33">
        <f t="shared" si="12"/>
        <v>1.2630369770007636E-2</v>
      </c>
      <c r="O33">
        <f t="shared" si="13"/>
        <v>3.7979260662893657E-2</v>
      </c>
      <c r="P33">
        <f t="shared" si="14"/>
        <v>0.20742449767488605</v>
      </c>
      <c r="Q33">
        <f t="shared" si="15"/>
        <v>0.30747461074626087</v>
      </c>
      <c r="R33">
        <f t="shared" si="16"/>
        <v>1.2630369770007636E-3</v>
      </c>
      <c r="S33">
        <f t="shared" si="17"/>
        <v>0.60813245461314902</v>
      </c>
      <c r="T33">
        <f t="shared" si="18"/>
        <v>24.690000945596328</v>
      </c>
      <c r="U33">
        <f t="shared" si="19"/>
        <v>39.384913355082254</v>
      </c>
      <c r="V33" s="23">
        <f t="shared" si="20"/>
        <v>5.43091028561153E-4</v>
      </c>
      <c r="W33" s="23">
        <f t="shared" si="21"/>
        <v>0.26148979506644654</v>
      </c>
      <c r="X33" s="23">
        <f t="shared" si="22"/>
        <v>10.616409695748475</v>
      </c>
      <c r="Y33" s="23">
        <f t="shared" si="23"/>
        <v>16.935049007508653</v>
      </c>
      <c r="Z33">
        <f t="shared" si="24"/>
        <v>1.4411855757376789E-3</v>
      </c>
      <c r="AA33">
        <f t="shared" si="25"/>
        <v>6.9459325808118397E-3</v>
      </c>
      <c r="AB33">
        <f t="shared" si="26"/>
        <v>7.8426905318438211E-2</v>
      </c>
      <c r="AC33">
        <f t="shared" si="27"/>
        <v>0.13747289519402237</v>
      </c>
      <c r="AD33">
        <f t="shared" si="28"/>
        <v>1.4411855757376788E-4</v>
      </c>
      <c r="AE33">
        <f t="shared" si="29"/>
        <v>0.1114960681725365</v>
      </c>
      <c r="AF33">
        <f t="shared" si="30"/>
        <v>9.5231110688026295</v>
      </c>
      <c r="AG33">
        <f t="shared" si="31"/>
        <v>23.543905463461595</v>
      </c>
      <c r="AH33" s="23">
        <f t="shared" si="32"/>
        <v>5.6425562442985045E-5</v>
      </c>
      <c r="AI33" s="23">
        <f t="shared" si="33"/>
        <v>4.3653145456972645E-2</v>
      </c>
      <c r="AJ33" s="23">
        <f t="shared" si="34"/>
        <v>3.7285059419857212</v>
      </c>
      <c r="AK33" s="23">
        <f t="shared" si="35"/>
        <v>9.2179531230757714</v>
      </c>
    </row>
    <row r="34" spans="1:37">
      <c r="A34" s="33">
        <f>(26)*t_max/(41-1)</f>
        <v>39</v>
      </c>
      <c r="B34">
        <f t="shared" si="0"/>
        <v>0.11068984324862434</v>
      </c>
      <c r="C34">
        <f t="shared" si="1"/>
        <v>0.2076468969600784</v>
      </c>
      <c r="D34">
        <f t="shared" si="2"/>
        <v>0.54784433726413662</v>
      </c>
      <c r="E34">
        <f t="shared" si="3"/>
        <v>0.68604593378157053</v>
      </c>
      <c r="F34">
        <f t="shared" si="4"/>
        <v>1.1068984324862434E-2</v>
      </c>
      <c r="G34">
        <f t="shared" si="5"/>
        <v>3.3116502124237628</v>
      </c>
      <c r="H34">
        <f t="shared" si="6"/>
        <v>62.499389794560095</v>
      </c>
      <c r="I34">
        <f t="shared" si="7"/>
        <v>53.591176419721222</v>
      </c>
      <c r="J34" s="23">
        <f t="shared" si="8"/>
        <v>5.2526880832048537E-3</v>
      </c>
      <c r="K34" s="23">
        <f t="shared" si="9"/>
        <v>1.5715141602892557</v>
      </c>
      <c r="L34" s="23">
        <f t="shared" si="10"/>
        <v>29.658529666906983</v>
      </c>
      <c r="M34" s="23">
        <f t="shared" si="11"/>
        <v>25.431216223923698</v>
      </c>
      <c r="N34">
        <f t="shared" si="12"/>
        <v>1.2630370510430176E-2</v>
      </c>
      <c r="O34">
        <f t="shared" si="13"/>
        <v>3.7979287693658617E-2</v>
      </c>
      <c r="P34">
        <f t="shared" si="14"/>
        <v>0.2074286698482434</v>
      </c>
      <c r="Q34">
        <f t="shared" si="15"/>
        <v>0.30748689948885038</v>
      </c>
      <c r="R34">
        <f t="shared" si="16"/>
        <v>1.2630370510430177E-3</v>
      </c>
      <c r="S34">
        <f t="shared" si="17"/>
        <v>0.60813289005872306</v>
      </c>
      <c r="T34">
        <f t="shared" si="18"/>
        <v>24.690516259099621</v>
      </c>
      <c r="U34">
        <f t="shared" si="19"/>
        <v>39.388216372125427</v>
      </c>
      <c r="V34" s="23">
        <f t="shared" si="20"/>
        <v>5.4309106039845045E-4</v>
      </c>
      <c r="W34" s="23">
        <f t="shared" si="21"/>
        <v>0.2614899823029162</v>
      </c>
      <c r="X34" s="23">
        <f t="shared" si="22"/>
        <v>10.616631274487364</v>
      </c>
      <c r="Y34" s="23">
        <f t="shared" si="23"/>
        <v>16.936469265946052</v>
      </c>
      <c r="Z34">
        <f t="shared" si="24"/>
        <v>1.4411946957963615E-3</v>
      </c>
      <c r="AA34">
        <f t="shared" si="25"/>
        <v>6.9462658864679625E-3</v>
      </c>
      <c r="AB34">
        <f t="shared" si="26"/>
        <v>7.8478429146475528E-2</v>
      </c>
      <c r="AC34">
        <f t="shared" si="27"/>
        <v>0.13762470368433885</v>
      </c>
      <c r="AD34">
        <f t="shared" si="28"/>
        <v>1.4411946957963617E-4</v>
      </c>
      <c r="AE34">
        <f t="shared" si="29"/>
        <v>0.11150143748254929</v>
      </c>
      <c r="AF34">
        <f t="shared" si="30"/>
        <v>9.5294748931238349</v>
      </c>
      <c r="AG34">
        <f t="shared" si="31"/>
        <v>23.584716353621534</v>
      </c>
      <c r="AH34" s="23">
        <f t="shared" si="32"/>
        <v>5.6425919513198177E-5</v>
      </c>
      <c r="AI34" s="23">
        <f t="shared" si="33"/>
        <v>4.3655247659093607E-2</v>
      </c>
      <c r="AJ34" s="23">
        <f t="shared" si="34"/>
        <v>3.7309975181758905</v>
      </c>
      <c r="AK34" s="23">
        <f t="shared" si="35"/>
        <v>9.233931477770966</v>
      </c>
    </row>
    <row r="35" spans="1:37">
      <c r="A35" s="33">
        <f>(27)*t_max/(41-1)</f>
        <v>40.5</v>
      </c>
      <c r="B35">
        <f t="shared" si="0"/>
        <v>0.11068984325574388</v>
      </c>
      <c r="C35">
        <f t="shared" si="1"/>
        <v>0.20764689725929605</v>
      </c>
      <c r="D35">
        <f t="shared" si="2"/>
        <v>0.54784439351189096</v>
      </c>
      <c r="E35">
        <f t="shared" si="3"/>
        <v>0.68604610660210619</v>
      </c>
      <c r="F35">
        <f t="shared" si="4"/>
        <v>1.1068984325574389E-2</v>
      </c>
      <c r="G35">
        <f t="shared" si="5"/>
        <v>3.3116502172442792</v>
      </c>
      <c r="H35">
        <f t="shared" si="6"/>
        <v>62.499396743492944</v>
      </c>
      <c r="I35">
        <f t="shared" si="7"/>
        <v>53.591223902349093</v>
      </c>
      <c r="J35" s="23">
        <f t="shared" si="8"/>
        <v>5.2526880835427059E-3</v>
      </c>
      <c r="K35" s="23">
        <f t="shared" si="9"/>
        <v>1.5715141625767888</v>
      </c>
      <c r="L35" s="23">
        <f t="shared" si="10"/>
        <v>29.658532964461276</v>
      </c>
      <c r="M35" s="23">
        <f t="shared" si="11"/>
        <v>25.431238756382527</v>
      </c>
      <c r="N35">
        <f t="shared" si="12"/>
        <v>1.263037077800272E-2</v>
      </c>
      <c r="O35">
        <f t="shared" si="13"/>
        <v>3.7979298946309401E-2</v>
      </c>
      <c r="P35">
        <f t="shared" si="14"/>
        <v>0.20743078707242404</v>
      </c>
      <c r="Q35">
        <f t="shared" si="15"/>
        <v>0.30749340591009</v>
      </c>
      <c r="R35">
        <f t="shared" si="16"/>
        <v>1.2630370778002721E-3</v>
      </c>
      <c r="S35">
        <f t="shared" si="17"/>
        <v>0.6081330713435088</v>
      </c>
      <c r="T35">
        <f t="shared" si="18"/>
        <v>24.690777824445043</v>
      </c>
      <c r="U35">
        <f t="shared" si="19"/>
        <v>39.390004194830972</v>
      </c>
      <c r="V35" s="23">
        <f t="shared" si="20"/>
        <v>5.4309107190375475E-4</v>
      </c>
      <c r="W35" s="23">
        <f t="shared" si="21"/>
        <v>0.26149006025323956</v>
      </c>
      <c r="X35" s="23">
        <f t="shared" si="22"/>
        <v>10.616743744506111</v>
      </c>
      <c r="Y35" s="23">
        <f t="shared" si="23"/>
        <v>16.937238008658831</v>
      </c>
      <c r="Z35">
        <f t="shared" si="24"/>
        <v>1.4411983074373634E-3</v>
      </c>
      <c r="AA35">
        <f t="shared" si="25"/>
        <v>6.9464179234889926E-3</v>
      </c>
      <c r="AB35">
        <f t="shared" si="26"/>
        <v>7.8507075769652684E-2</v>
      </c>
      <c r="AC35">
        <f t="shared" si="27"/>
        <v>0.13771276414662731</v>
      </c>
      <c r="AD35">
        <f t="shared" si="28"/>
        <v>1.4411983074373634E-4</v>
      </c>
      <c r="AE35">
        <f t="shared" si="29"/>
        <v>0.1115038868620028</v>
      </c>
      <c r="AF35">
        <f t="shared" si="30"/>
        <v>9.5330139493620578</v>
      </c>
      <c r="AG35">
        <f t="shared" si="31"/>
        <v>23.608917155049141</v>
      </c>
      <c r="AH35" s="23">
        <f t="shared" si="32"/>
        <v>5.6426060916830226E-5</v>
      </c>
      <c r="AI35" s="23">
        <f t="shared" si="33"/>
        <v>4.3656206644637367E-2</v>
      </c>
      <c r="AJ35" s="23">
        <f t="shared" si="34"/>
        <v>3.7323831359764079</v>
      </c>
      <c r="AK35" s="23">
        <f t="shared" si="35"/>
        <v>9.2434066200088054</v>
      </c>
    </row>
    <row r="36" spans="1:37">
      <c r="A36" s="33">
        <f>(28)*t_max/(41-1)</f>
        <v>42</v>
      </c>
      <c r="B36">
        <f t="shared" si="0"/>
        <v>0.11068984325816879</v>
      </c>
      <c r="C36">
        <f t="shared" si="1"/>
        <v>0.20764689737670169</v>
      </c>
      <c r="D36">
        <f t="shared" si="2"/>
        <v>0.54784442041776471</v>
      </c>
      <c r="E36">
        <f t="shared" si="3"/>
        <v>0.68604619285514989</v>
      </c>
      <c r="F36">
        <f t="shared" si="4"/>
        <v>1.1068984325816879E-2</v>
      </c>
      <c r="G36">
        <f t="shared" si="5"/>
        <v>3.3116502191358488</v>
      </c>
      <c r="H36">
        <f t="shared" si="6"/>
        <v>62.499400068140282</v>
      </c>
      <c r="I36">
        <f t="shared" si="7"/>
        <v>53.591248096391439</v>
      </c>
      <c r="J36" s="23">
        <f t="shared" si="8"/>
        <v>5.252688083657777E-3</v>
      </c>
      <c r="K36" s="23">
        <f t="shared" si="9"/>
        <v>1.5715141634744163</v>
      </c>
      <c r="L36" s="23">
        <f t="shared" si="10"/>
        <v>29.658534542143105</v>
      </c>
      <c r="M36" s="23">
        <f t="shared" si="11"/>
        <v>25.431250237450183</v>
      </c>
      <c r="N36">
        <f t="shared" si="12"/>
        <v>1.2630370874285684E-2</v>
      </c>
      <c r="O36">
        <f t="shared" si="13"/>
        <v>3.797930361075557E-2</v>
      </c>
      <c r="P36">
        <f t="shared" si="14"/>
        <v>0.20743185692515687</v>
      </c>
      <c r="Q36">
        <f t="shared" si="15"/>
        <v>0.3074968361966941</v>
      </c>
      <c r="R36">
        <f t="shared" si="16"/>
        <v>1.2630370874285686E-3</v>
      </c>
      <c r="S36">
        <f t="shared" si="17"/>
        <v>0.60813314649428785</v>
      </c>
      <c r="T36">
        <f t="shared" si="18"/>
        <v>24.690910021814506</v>
      </c>
      <c r="U36">
        <f t="shared" si="19"/>
        <v>39.390966475561896</v>
      </c>
      <c r="V36" s="23">
        <f t="shared" si="20"/>
        <v>5.4309107604380894E-4</v>
      </c>
      <c r="W36" s="23">
        <f t="shared" si="21"/>
        <v>0.26149009256718969</v>
      </c>
      <c r="X36" s="23">
        <f t="shared" si="22"/>
        <v>10.61680058781843</v>
      </c>
      <c r="Y36" s="23">
        <f t="shared" si="23"/>
        <v>16.937651778042817</v>
      </c>
      <c r="Z36">
        <f t="shared" si="24"/>
        <v>1.4411997221296679E-3</v>
      </c>
      <c r="AA36">
        <f t="shared" si="25"/>
        <v>6.9464865217380174E-3</v>
      </c>
      <c r="AB36">
        <f t="shared" si="26"/>
        <v>7.8522830283551642E-2</v>
      </c>
      <c r="AC36">
        <f t="shared" si="27"/>
        <v>0.13776329237991955</v>
      </c>
      <c r="AD36">
        <f t="shared" si="28"/>
        <v>1.441199722129668E-4</v>
      </c>
      <c r="AE36">
        <f t="shared" si="29"/>
        <v>0.11150499207655856</v>
      </c>
      <c r="AF36">
        <f t="shared" si="30"/>
        <v>9.5349606731272623</v>
      </c>
      <c r="AG36">
        <f t="shared" si="31"/>
        <v>23.623093473764843</v>
      </c>
      <c r="AH36" s="23">
        <f t="shared" si="32"/>
        <v>5.6426116305123252E-5</v>
      </c>
      <c r="AI36" s="23">
        <f t="shared" si="33"/>
        <v>4.3656639360270796E-2</v>
      </c>
      <c r="AJ36" s="23">
        <f t="shared" si="34"/>
        <v>3.7331453208415777</v>
      </c>
      <c r="AK36" s="23">
        <f t="shared" si="35"/>
        <v>9.2489569583578071</v>
      </c>
    </row>
    <row r="37" spans="1:37">
      <c r="A37" s="33">
        <f>(29)*t_max/(41-1)</f>
        <v>43.5</v>
      </c>
      <c r="B37">
        <f t="shared" si="0"/>
        <v>0.11068984325899481</v>
      </c>
      <c r="C37">
        <f t="shared" si="1"/>
        <v>0.20764689742277442</v>
      </c>
      <c r="D37">
        <f t="shared" si="2"/>
        <v>0.54784443328966159</v>
      </c>
      <c r="E37">
        <f t="shared" si="3"/>
        <v>0.68604623590851943</v>
      </c>
      <c r="F37">
        <f t="shared" si="4"/>
        <v>1.1068984325899481E-2</v>
      </c>
      <c r="G37">
        <f t="shared" si="5"/>
        <v>3.3116502198781848</v>
      </c>
      <c r="H37">
        <f t="shared" si="6"/>
        <v>62.49940165892427</v>
      </c>
      <c r="I37">
        <f t="shared" si="7"/>
        <v>53.591260410190245</v>
      </c>
      <c r="J37" s="23">
        <f t="shared" si="8"/>
        <v>5.2526880836969757E-3</v>
      </c>
      <c r="K37" s="23">
        <f t="shared" si="9"/>
        <v>1.5715141638266854</v>
      </c>
      <c r="L37" s="23">
        <f t="shared" si="10"/>
        <v>29.658535297035503</v>
      </c>
      <c r="M37" s="23">
        <f t="shared" si="11"/>
        <v>25.43125608085391</v>
      </c>
      <c r="N37">
        <f t="shared" si="12"/>
        <v>1.2630370908802499E-2</v>
      </c>
      <c r="O37">
        <f t="shared" si="13"/>
        <v>3.7979305537042762E-2</v>
      </c>
      <c r="P37">
        <f t="shared" si="14"/>
        <v>0.20743239551753093</v>
      </c>
      <c r="Q37">
        <f t="shared" si="15"/>
        <v>0.30749863796275806</v>
      </c>
      <c r="R37">
        <f t="shared" si="16"/>
        <v>1.26303709088025E-3</v>
      </c>
      <c r="S37">
        <f t="shared" si="17"/>
        <v>0.60813317753114804</v>
      </c>
      <c r="T37">
        <f t="shared" si="18"/>
        <v>24.690976584235184</v>
      </c>
      <c r="U37">
        <f t="shared" si="19"/>
        <v>39.391481841863992</v>
      </c>
      <c r="V37" s="23">
        <f t="shared" si="20"/>
        <v>5.4309107752799129E-4</v>
      </c>
      <c r="W37" s="23">
        <f t="shared" si="21"/>
        <v>0.26149010591267413</v>
      </c>
      <c r="X37" s="23">
        <f t="shared" si="22"/>
        <v>10.616829208875586</v>
      </c>
      <c r="Y37" s="23">
        <f t="shared" si="23"/>
        <v>16.937873379484568</v>
      </c>
      <c r="Z37">
        <f t="shared" si="24"/>
        <v>1.4412002709146593E-3</v>
      </c>
      <c r="AA37">
        <f t="shared" si="25"/>
        <v>6.9465171741834933E-3</v>
      </c>
      <c r="AB37">
        <f t="shared" si="26"/>
        <v>7.8531411185245037E-2</v>
      </c>
      <c r="AC37">
        <f t="shared" si="27"/>
        <v>0.13779200582624337</v>
      </c>
      <c r="AD37">
        <f t="shared" si="28"/>
        <v>1.4412002709146595E-4</v>
      </c>
      <c r="AE37">
        <f t="shared" si="29"/>
        <v>0.11150548595719779</v>
      </c>
      <c r="AF37">
        <f t="shared" si="30"/>
        <v>9.536021152494909</v>
      </c>
      <c r="AG37">
        <f t="shared" si="31"/>
        <v>23.631307454162592</v>
      </c>
      <c r="AH37" s="23">
        <f t="shared" si="32"/>
        <v>5.6426137791254065E-5</v>
      </c>
      <c r="AI37" s="23">
        <f t="shared" si="33"/>
        <v>4.3656832725326049E-2</v>
      </c>
      <c r="AJ37" s="23">
        <f t="shared" si="34"/>
        <v>3.7335605216719636</v>
      </c>
      <c r="AK37" s="23">
        <f t="shared" si="35"/>
        <v>9.252172911054263</v>
      </c>
    </row>
    <row r="38" spans="1:37">
      <c r="A38" s="33">
        <f>(30)*t_max/(41-1)</f>
        <v>45</v>
      </c>
      <c r="B38">
        <f t="shared" si="0"/>
        <v>0.11068984325927624</v>
      </c>
      <c r="C38">
        <f t="shared" si="1"/>
        <v>0.20764689744085765</v>
      </c>
      <c r="D38">
        <f t="shared" si="2"/>
        <v>0.54784443944872252</v>
      </c>
      <c r="E38">
        <f t="shared" si="3"/>
        <v>0.68604625740247849</v>
      </c>
      <c r="F38">
        <f t="shared" si="4"/>
        <v>1.1068984325927624E-2</v>
      </c>
      <c r="G38">
        <f t="shared" si="5"/>
        <v>3.3116502201695601</v>
      </c>
      <c r="H38">
        <f t="shared" si="6"/>
        <v>62.499402420197754</v>
      </c>
      <c r="I38">
        <f t="shared" si="7"/>
        <v>53.591266671290768</v>
      </c>
      <c r="J38" s="23">
        <f t="shared" si="8"/>
        <v>5.2526880837103305E-3</v>
      </c>
      <c r="K38" s="23">
        <f t="shared" si="9"/>
        <v>1.571514163964955</v>
      </c>
      <c r="L38" s="23">
        <f t="shared" si="10"/>
        <v>29.658535658291065</v>
      </c>
      <c r="M38" s="23">
        <f t="shared" si="11"/>
        <v>25.431259052003487</v>
      </c>
      <c r="N38">
        <f t="shared" si="12"/>
        <v>1.2630370921135807E-2</v>
      </c>
      <c r="O38">
        <f t="shared" si="13"/>
        <v>3.7979306329930455E-2</v>
      </c>
      <c r="P38">
        <f t="shared" si="14"/>
        <v>0.20743266576954958</v>
      </c>
      <c r="Q38">
        <f t="shared" si="15"/>
        <v>0.30749958124044779</v>
      </c>
      <c r="R38">
        <f t="shared" si="16"/>
        <v>1.2630370921135807E-3</v>
      </c>
      <c r="S38">
        <f t="shared" si="17"/>
        <v>0.60813319030696478</v>
      </c>
      <c r="T38">
        <f t="shared" si="18"/>
        <v>24.691009987994867</v>
      </c>
      <c r="U38">
        <f t="shared" si="19"/>
        <v>39.391756632891727</v>
      </c>
      <c r="V38" s="23">
        <f t="shared" si="20"/>
        <v>5.4309107805830894E-4</v>
      </c>
      <c r="W38" s="23">
        <f t="shared" si="21"/>
        <v>0.26149011140612488</v>
      </c>
      <c r="X38" s="23">
        <f t="shared" si="22"/>
        <v>10.61684357209894</v>
      </c>
      <c r="Y38" s="23">
        <f t="shared" si="23"/>
        <v>16.937991536390985</v>
      </c>
      <c r="Z38">
        <f t="shared" si="24"/>
        <v>1.4412004819636319E-3</v>
      </c>
      <c r="AA38">
        <f t="shared" si="25"/>
        <v>6.9465307530286085E-3</v>
      </c>
      <c r="AB38">
        <f t="shared" si="26"/>
        <v>7.8536044729174151E-2</v>
      </c>
      <c r="AC38">
        <f t="shared" si="27"/>
        <v>0.13780818254528207</v>
      </c>
      <c r="AD38">
        <f t="shared" si="28"/>
        <v>1.4412004819636318E-4</v>
      </c>
      <c r="AE38">
        <f t="shared" si="29"/>
        <v>0.11150570475348201</v>
      </c>
      <c r="AF38">
        <f t="shared" si="30"/>
        <v>9.5365938693790859</v>
      </c>
      <c r="AG38">
        <f t="shared" si="31"/>
        <v>23.636020459943285</v>
      </c>
      <c r="AH38" s="23">
        <f t="shared" si="32"/>
        <v>5.6426146054282206E-5</v>
      </c>
      <c r="AI38" s="23">
        <f t="shared" si="33"/>
        <v>4.3656918388849233E-2</v>
      </c>
      <c r="AJ38" s="23">
        <f t="shared" si="34"/>
        <v>3.7337847528386798</v>
      </c>
      <c r="AK38" s="23">
        <f t="shared" si="35"/>
        <v>9.2540181557364853</v>
      </c>
    </row>
    <row r="39" spans="1:37">
      <c r="A39" s="33">
        <f>(31)*t_max/(41-1)</f>
        <v>46.5</v>
      </c>
      <c r="B39">
        <f t="shared" si="0"/>
        <v>0.11068984325937214</v>
      </c>
      <c r="C39">
        <f t="shared" si="1"/>
        <v>0.20764689744795667</v>
      </c>
      <c r="D39">
        <f t="shared" si="2"/>
        <v>0.54784444239640706</v>
      </c>
      <c r="E39">
        <f t="shared" si="3"/>
        <v>0.68604626813545777</v>
      </c>
      <c r="F39">
        <f t="shared" si="4"/>
        <v>1.1068984325937215E-2</v>
      </c>
      <c r="G39">
        <f t="shared" si="5"/>
        <v>3.3116502202839513</v>
      </c>
      <c r="H39">
        <f t="shared" si="6"/>
        <v>62.499402784577676</v>
      </c>
      <c r="I39">
        <f t="shared" si="7"/>
        <v>53.591269852118927</v>
      </c>
      <c r="J39" s="23">
        <f t="shared" si="8"/>
        <v>5.2526880837148815E-3</v>
      </c>
      <c r="K39" s="23">
        <f t="shared" si="9"/>
        <v>1.5715141640192383</v>
      </c>
      <c r="L39" s="23">
        <f t="shared" si="10"/>
        <v>29.658535831204315</v>
      </c>
      <c r="M39" s="23">
        <f t="shared" si="11"/>
        <v>25.431260561437206</v>
      </c>
      <c r="N39">
        <f t="shared" si="12"/>
        <v>1.263037092552984E-2</v>
      </c>
      <c r="O39">
        <f t="shared" si="13"/>
        <v>3.7979306655346247E-2</v>
      </c>
      <c r="P39">
        <f t="shared" si="14"/>
        <v>0.20743280098193176</v>
      </c>
      <c r="Q39">
        <f t="shared" si="15"/>
        <v>0.30750007364269388</v>
      </c>
      <c r="R39">
        <f t="shared" si="16"/>
        <v>1.2630370925529842E-3</v>
      </c>
      <c r="S39">
        <f t="shared" si="17"/>
        <v>0.60813319555060907</v>
      </c>
      <c r="T39">
        <f t="shared" si="18"/>
        <v>24.691026702365608</v>
      </c>
      <c r="U39">
        <f t="shared" si="19"/>
        <v>39.391902569845058</v>
      </c>
      <c r="V39" s="23">
        <f t="shared" si="20"/>
        <v>5.4309107824724733E-4</v>
      </c>
      <c r="W39" s="23">
        <f t="shared" si="21"/>
        <v>0.26149011366083019</v>
      </c>
      <c r="X39" s="23">
        <f t="shared" si="22"/>
        <v>10.616850759081556</v>
      </c>
      <c r="Y39" s="23">
        <f t="shared" si="23"/>
        <v>16.938054287562593</v>
      </c>
      <c r="Z39">
        <f t="shared" si="24"/>
        <v>1.4412005625016665E-3</v>
      </c>
      <c r="AA39">
        <f t="shared" si="25"/>
        <v>6.9465367220273534E-3</v>
      </c>
      <c r="AB39">
        <f t="shared" si="26"/>
        <v>7.853852752214216E-2</v>
      </c>
      <c r="AC39">
        <f t="shared" si="27"/>
        <v>0.13781722619438994</v>
      </c>
      <c r="AD39">
        <f t="shared" si="28"/>
        <v>1.4412005625016666E-4</v>
      </c>
      <c r="AE39">
        <f t="shared" si="29"/>
        <v>0.11150580093600426</v>
      </c>
      <c r="AF39">
        <f t="shared" si="30"/>
        <v>9.5369007816848779</v>
      </c>
      <c r="AG39">
        <f t="shared" si="31"/>
        <v>23.638701036419718</v>
      </c>
      <c r="AH39" s="23">
        <f t="shared" si="32"/>
        <v>5.6426149207522136E-5</v>
      </c>
      <c r="AI39" s="23">
        <f t="shared" si="33"/>
        <v>4.3656956046407056E-2</v>
      </c>
      <c r="AJ39" s="23">
        <f t="shared" si="34"/>
        <v>3.7339049157085182</v>
      </c>
      <c r="AK39" s="23">
        <f t="shared" si="35"/>
        <v>9.2550676599634247</v>
      </c>
    </row>
    <row r="40" spans="1:37">
      <c r="A40" s="33">
        <f>(32)*t_max/(41-1)</f>
        <v>48</v>
      </c>
      <c r="B40">
        <f t="shared" si="0"/>
        <v>0.11068984325940484</v>
      </c>
      <c r="C40">
        <f t="shared" si="1"/>
        <v>0.20764689745074427</v>
      </c>
      <c r="D40">
        <f t="shared" si="2"/>
        <v>0.54784444380750175</v>
      </c>
      <c r="E40">
        <f t="shared" si="3"/>
        <v>0.68604627349629832</v>
      </c>
      <c r="F40">
        <f t="shared" si="4"/>
        <v>1.1068984325940485E-2</v>
      </c>
      <c r="G40">
        <f t="shared" si="5"/>
        <v>3.3116502203288718</v>
      </c>
      <c r="H40">
        <f t="shared" si="6"/>
        <v>62.499402959026597</v>
      </c>
      <c r="I40">
        <f t="shared" si="7"/>
        <v>53.591271466882574</v>
      </c>
      <c r="J40" s="23">
        <f t="shared" si="8"/>
        <v>5.2526880837164332E-3</v>
      </c>
      <c r="K40" s="23">
        <f t="shared" si="9"/>
        <v>1.5715141640405548</v>
      </c>
      <c r="L40" s="23">
        <f t="shared" si="10"/>
        <v>29.6585359139875</v>
      </c>
      <c r="M40" s="23">
        <f t="shared" si="11"/>
        <v>25.431261327708935</v>
      </c>
      <c r="N40">
        <f t="shared" si="12"/>
        <v>1.2630370927091279E-2</v>
      </c>
      <c r="O40">
        <f t="shared" si="13"/>
        <v>3.7979306788558972E-2</v>
      </c>
      <c r="P40">
        <f t="shared" si="14"/>
        <v>0.20743286845744729</v>
      </c>
      <c r="Q40">
        <f t="shared" si="15"/>
        <v>0.30750033002212318</v>
      </c>
      <c r="R40">
        <f t="shared" si="16"/>
        <v>1.263037092709128E-3</v>
      </c>
      <c r="S40">
        <f t="shared" si="17"/>
        <v>0.60813319769723095</v>
      </c>
      <c r="T40">
        <f t="shared" si="18"/>
        <v>24.691035044140484</v>
      </c>
      <c r="U40">
        <f t="shared" si="19"/>
        <v>39.391979799061644</v>
      </c>
      <c r="V40" s="23">
        <f t="shared" si="20"/>
        <v>5.430910783143873E-4</v>
      </c>
      <c r="W40" s="23">
        <f t="shared" si="21"/>
        <v>0.26149011458385235</v>
      </c>
      <c r="X40" s="23">
        <f t="shared" si="22"/>
        <v>10.616854345946534</v>
      </c>
      <c r="Y40" s="23">
        <f t="shared" si="23"/>
        <v>16.938087495216394</v>
      </c>
      <c r="Z40">
        <f t="shared" si="24"/>
        <v>1.4412005930227259E-3</v>
      </c>
      <c r="AA40">
        <f t="shared" si="25"/>
        <v>6.9465393277282819E-3</v>
      </c>
      <c r="AB40">
        <f t="shared" si="26"/>
        <v>7.8539848687885341E-2</v>
      </c>
      <c r="AC40">
        <f t="shared" si="27"/>
        <v>0.13782224716466959</v>
      </c>
      <c r="AD40">
        <f t="shared" si="28"/>
        <v>1.4412005930227259E-4</v>
      </c>
      <c r="AE40">
        <f t="shared" si="29"/>
        <v>0.11150584292490372</v>
      </c>
      <c r="AF40">
        <f t="shared" si="30"/>
        <v>9.5370641131032627</v>
      </c>
      <c r="AG40">
        <f t="shared" si="31"/>
        <v>23.640213624923852</v>
      </c>
      <c r="AH40" s="23">
        <f t="shared" si="32"/>
        <v>5.6426150402488259E-5</v>
      </c>
      <c r="AI40" s="23">
        <f t="shared" si="33"/>
        <v>4.3656972485978114E-2</v>
      </c>
      <c r="AJ40" s="23">
        <f t="shared" si="34"/>
        <v>3.7339688635255248</v>
      </c>
      <c r="AK40" s="23">
        <f t="shared" si="35"/>
        <v>9.2556598713935667</v>
      </c>
    </row>
    <row r="41" spans="1:37">
      <c r="A41" s="33">
        <f>(33)*t_max/(41-1)</f>
        <v>49.5</v>
      </c>
      <c r="B41">
        <f t="shared" si="0"/>
        <v>0.11068984325941597</v>
      </c>
      <c r="C41">
        <f t="shared" si="1"/>
        <v>0.20764689745183923</v>
      </c>
      <c r="D41">
        <f t="shared" si="2"/>
        <v>0.54784444448319702</v>
      </c>
      <c r="E41">
        <f t="shared" si="3"/>
        <v>0.68604627617463498</v>
      </c>
      <c r="F41">
        <f t="shared" si="4"/>
        <v>1.1068984325941597E-2</v>
      </c>
      <c r="G41">
        <f t="shared" si="5"/>
        <v>3.3116502203465168</v>
      </c>
      <c r="H41">
        <f t="shared" si="6"/>
        <v>62.499403042566648</v>
      </c>
      <c r="I41">
        <f t="shared" si="7"/>
        <v>53.591272286099205</v>
      </c>
      <c r="J41" s="23">
        <f t="shared" si="8"/>
        <v>5.2526880837169615E-3</v>
      </c>
      <c r="K41" s="23">
        <f t="shared" si="9"/>
        <v>1.5715141640489281</v>
      </c>
      <c r="L41" s="23">
        <f t="shared" si="10"/>
        <v>29.65853595363069</v>
      </c>
      <c r="M41" s="23">
        <f t="shared" si="11"/>
        <v>25.431261716460902</v>
      </c>
      <c r="N41">
        <f t="shared" si="12"/>
        <v>1.2630370927644873E-2</v>
      </c>
      <c r="O41">
        <f t="shared" si="13"/>
        <v>3.7979306842966305E-2</v>
      </c>
      <c r="P41">
        <f t="shared" si="14"/>
        <v>0.20743290205305767</v>
      </c>
      <c r="Q41">
        <f t="shared" si="15"/>
        <v>0.3075004632065067</v>
      </c>
      <c r="R41">
        <f t="shared" si="16"/>
        <v>1.2630370927644873E-3</v>
      </c>
      <c r="S41">
        <f t="shared" si="17"/>
        <v>0.60813319857399051</v>
      </c>
      <c r="T41">
        <f t="shared" si="18"/>
        <v>24.691039197758204</v>
      </c>
      <c r="U41">
        <f t="shared" si="19"/>
        <v>39.392020537717165</v>
      </c>
      <c r="V41" s="23">
        <f t="shared" si="20"/>
        <v>5.4309107833819118E-4</v>
      </c>
      <c r="W41" s="23">
        <f t="shared" si="21"/>
        <v>0.26149011496084862</v>
      </c>
      <c r="X41" s="23">
        <f t="shared" si="22"/>
        <v>10.616856131953247</v>
      </c>
      <c r="Y41" s="23">
        <f t="shared" si="23"/>
        <v>16.938105012358594</v>
      </c>
      <c r="Z41">
        <f t="shared" si="24"/>
        <v>1.4412006045169375E-3</v>
      </c>
      <c r="AA41">
        <f t="shared" si="25"/>
        <v>6.9465404581274355E-3</v>
      </c>
      <c r="AB41">
        <f t="shared" si="26"/>
        <v>7.8540547342894992E-2</v>
      </c>
      <c r="AC41">
        <f t="shared" si="27"/>
        <v>0.13782501742921882</v>
      </c>
      <c r="AD41">
        <f t="shared" si="28"/>
        <v>1.4412006045169375E-4</v>
      </c>
      <c r="AE41">
        <f t="shared" si="29"/>
        <v>0.11150586114098632</v>
      </c>
      <c r="AF41">
        <f t="shared" si="30"/>
        <v>9.5371504918504026</v>
      </c>
      <c r="AG41">
        <f t="shared" si="31"/>
        <v>23.641061057950829</v>
      </c>
      <c r="AH41" s="23">
        <f t="shared" si="32"/>
        <v>5.6426150852511741E-5</v>
      </c>
      <c r="AI41" s="23">
        <f t="shared" si="33"/>
        <v>4.3656979617972241E-2</v>
      </c>
      <c r="AJ41" s="23">
        <f t="shared" si="34"/>
        <v>3.7340026826913042</v>
      </c>
      <c r="AK41" s="23">
        <f t="shared" si="35"/>
        <v>9.2559916599292329</v>
      </c>
    </row>
    <row r="42" spans="1:37">
      <c r="A42" s="33">
        <f>(34)*t_max/(41-1)</f>
        <v>51</v>
      </c>
      <c r="B42">
        <f t="shared" si="0"/>
        <v>0.11068984325941979</v>
      </c>
      <c r="C42">
        <f t="shared" si="1"/>
        <v>0.20764689745226941</v>
      </c>
      <c r="D42">
        <f t="shared" si="2"/>
        <v>0.54784444480684569</v>
      </c>
      <c r="E42">
        <f t="shared" si="3"/>
        <v>0.68604627751315683</v>
      </c>
      <c r="F42">
        <f t="shared" si="4"/>
        <v>1.1068984325941979E-2</v>
      </c>
      <c r="G42">
        <f t="shared" si="5"/>
        <v>3.311650220353449</v>
      </c>
      <c r="H42">
        <f t="shared" si="6"/>
        <v>62.499403082583576</v>
      </c>
      <c r="I42">
        <f t="shared" si="7"/>
        <v>53.591272701479447</v>
      </c>
      <c r="J42" s="23">
        <f t="shared" si="8"/>
        <v>5.2526880837171419E-3</v>
      </c>
      <c r="K42" s="23">
        <f t="shared" si="9"/>
        <v>1.5715141640522177</v>
      </c>
      <c r="L42" s="23">
        <f t="shared" si="10"/>
        <v>29.658535972620367</v>
      </c>
      <c r="M42" s="23">
        <f t="shared" si="11"/>
        <v>25.431261913575902</v>
      </c>
      <c r="N42">
        <f t="shared" si="12"/>
        <v>1.2630370927840744E-2</v>
      </c>
      <c r="O42">
        <f t="shared" si="13"/>
        <v>3.7979306865142268E-2</v>
      </c>
      <c r="P42">
        <f t="shared" si="14"/>
        <v>0.20743291874602954</v>
      </c>
      <c r="Q42">
        <f t="shared" si="15"/>
        <v>0.30750053225251595</v>
      </c>
      <c r="R42">
        <f t="shared" si="16"/>
        <v>1.2630370927840745E-3</v>
      </c>
      <c r="S42">
        <f t="shared" si="17"/>
        <v>0.60813319893135975</v>
      </c>
      <c r="T42">
        <f t="shared" si="18"/>
        <v>24.691041261729634</v>
      </c>
      <c r="U42">
        <f t="shared" si="19"/>
        <v>39.392041965466959</v>
      </c>
      <c r="V42" s="23">
        <f t="shared" si="20"/>
        <v>5.4309107834661337E-4</v>
      </c>
      <c r="W42" s="23">
        <f t="shared" si="21"/>
        <v>0.2614901151145132</v>
      </c>
      <c r="X42" s="23">
        <f t="shared" si="22"/>
        <v>10.61685701943666</v>
      </c>
      <c r="Y42" s="23">
        <f t="shared" si="23"/>
        <v>16.938114226038703</v>
      </c>
      <c r="Z42">
        <f t="shared" si="24"/>
        <v>1.4412006088212403E-3</v>
      </c>
      <c r="AA42">
        <f t="shared" si="25"/>
        <v>6.9465409457523967E-3</v>
      </c>
      <c r="AB42">
        <f t="shared" si="26"/>
        <v>7.8540914725887853E-2</v>
      </c>
      <c r="AC42">
        <f t="shared" si="27"/>
        <v>0.137826537299375</v>
      </c>
      <c r="AD42">
        <f t="shared" si="28"/>
        <v>1.4412006088212404E-4</v>
      </c>
      <c r="AE42">
        <f t="shared" si="29"/>
        <v>0.11150586899914119</v>
      </c>
      <c r="AF42">
        <f t="shared" si="30"/>
        <v>9.5371959162474429</v>
      </c>
      <c r="AG42">
        <f t="shared" si="31"/>
        <v>23.641532764396899</v>
      </c>
      <c r="AH42" s="23">
        <f t="shared" si="32"/>
        <v>5.6426151021034604E-5</v>
      </c>
      <c r="AI42" s="23">
        <f t="shared" si="33"/>
        <v>4.3656982694611476E-2</v>
      </c>
      <c r="AJ42" s="23">
        <f t="shared" si="34"/>
        <v>3.7340204673346893</v>
      </c>
      <c r="AK42" s="23">
        <f t="shared" si="35"/>
        <v>9.2561763433036415</v>
      </c>
    </row>
    <row r="43" spans="1:37">
      <c r="A43" s="33">
        <f>(35)*t_max/(41-1)</f>
        <v>52.5</v>
      </c>
      <c r="B43">
        <f t="shared" si="0"/>
        <v>0.11068984325942108</v>
      </c>
      <c r="C43">
        <f t="shared" si="1"/>
        <v>0.20764689745243853</v>
      </c>
      <c r="D43">
        <f t="shared" si="2"/>
        <v>0.54784444496191687</v>
      </c>
      <c r="E43">
        <f t="shared" si="3"/>
        <v>0.68604627818230157</v>
      </c>
      <c r="F43">
        <f t="shared" si="4"/>
        <v>1.1068984325942109E-2</v>
      </c>
      <c r="G43">
        <f t="shared" si="5"/>
        <v>3.3116502203561744</v>
      </c>
      <c r="H43">
        <f t="shared" si="6"/>
        <v>62.499403101758013</v>
      </c>
      <c r="I43">
        <f t="shared" si="7"/>
        <v>53.59127291199384</v>
      </c>
      <c r="J43" s="23">
        <f t="shared" si="8"/>
        <v>5.2526880837172043E-3</v>
      </c>
      <c r="K43" s="23">
        <f t="shared" si="9"/>
        <v>1.5715141640535111</v>
      </c>
      <c r="L43" s="23">
        <f t="shared" si="10"/>
        <v>29.658535981719425</v>
      </c>
      <c r="M43" s="23">
        <f t="shared" si="11"/>
        <v>25.431262013473635</v>
      </c>
      <c r="N43">
        <f t="shared" si="12"/>
        <v>1.2630370927909919E-2</v>
      </c>
      <c r="O43">
        <f t="shared" si="13"/>
        <v>3.797930687416453E-2</v>
      </c>
      <c r="P43">
        <f t="shared" si="14"/>
        <v>0.20743292702533941</v>
      </c>
      <c r="Q43">
        <f t="shared" si="15"/>
        <v>0.30750056798255676</v>
      </c>
      <c r="R43">
        <f t="shared" si="16"/>
        <v>1.263037092790992E-3</v>
      </c>
      <c r="S43">
        <f t="shared" si="17"/>
        <v>0.60813319907675822</v>
      </c>
      <c r="T43">
        <f t="shared" si="18"/>
        <v>24.691042285459822</v>
      </c>
      <c r="U43">
        <f t="shared" si="19"/>
        <v>39.392053206627885</v>
      </c>
      <c r="V43" s="23">
        <f t="shared" si="20"/>
        <v>5.4309107834958777E-4</v>
      </c>
      <c r="W43" s="23">
        <f t="shared" si="21"/>
        <v>0.26149011517703286</v>
      </c>
      <c r="X43" s="23">
        <f t="shared" si="22"/>
        <v>10.616857459628587</v>
      </c>
      <c r="Y43" s="23">
        <f t="shared" si="23"/>
        <v>16.938119059605544</v>
      </c>
      <c r="Z43">
        <f t="shared" si="24"/>
        <v>1.441200610424862E-3</v>
      </c>
      <c r="AA43">
        <f t="shared" si="25"/>
        <v>6.9465411550276909E-3</v>
      </c>
      <c r="AB43">
        <f t="shared" si="26"/>
        <v>7.8541106927366655E-2</v>
      </c>
      <c r="AC43">
        <f t="shared" si="27"/>
        <v>0.13782736690920186</v>
      </c>
      <c r="AD43">
        <f t="shared" si="28"/>
        <v>1.4412006104248622E-4</v>
      </c>
      <c r="AE43">
        <f t="shared" si="29"/>
        <v>0.1115058723717238</v>
      </c>
      <c r="AF43">
        <f t="shared" si="30"/>
        <v>9.5372196818143085</v>
      </c>
      <c r="AG43">
        <f t="shared" si="31"/>
        <v>23.641793785672402</v>
      </c>
      <c r="AH43" s="23">
        <f t="shared" si="32"/>
        <v>5.6426151083819898E-5</v>
      </c>
      <c r="AI43" s="23">
        <f t="shared" si="33"/>
        <v>4.3656984015051213E-2</v>
      </c>
      <c r="AJ43" s="23">
        <f t="shared" si="34"/>
        <v>3.7340297720730917</v>
      </c>
      <c r="AK43" s="23">
        <f t="shared" si="35"/>
        <v>9.2562785388329871</v>
      </c>
    </row>
    <row r="44" spans="1:37">
      <c r="A44" s="33">
        <f>(36)*t_max/(41-1)</f>
        <v>54</v>
      </c>
      <c r="B44">
        <f t="shared" si="0"/>
        <v>0.11068984325942151</v>
      </c>
      <c r="C44">
        <f t="shared" si="1"/>
        <v>0.20764689745250497</v>
      </c>
      <c r="D44">
        <f t="shared" si="2"/>
        <v>0.54784444503624052</v>
      </c>
      <c r="E44">
        <f t="shared" si="3"/>
        <v>0.68604627851692301</v>
      </c>
      <c r="F44">
        <f t="shared" si="4"/>
        <v>1.1068984325942152E-2</v>
      </c>
      <c r="G44">
        <f t="shared" si="5"/>
        <v>3.3116502203572451</v>
      </c>
      <c r="H44">
        <f t="shared" si="6"/>
        <v>62.499403110948442</v>
      </c>
      <c r="I44">
        <f t="shared" si="7"/>
        <v>53.591273018637558</v>
      </c>
      <c r="J44" s="23">
        <f t="shared" si="8"/>
        <v>5.2526880837172243E-3</v>
      </c>
      <c r="K44" s="23">
        <f t="shared" si="9"/>
        <v>1.5715141640540191</v>
      </c>
      <c r="L44" s="23">
        <f t="shared" si="10"/>
        <v>29.658535986080661</v>
      </c>
      <c r="M44" s="23">
        <f t="shared" si="11"/>
        <v>25.431262064080464</v>
      </c>
      <c r="N44">
        <f t="shared" si="12"/>
        <v>1.2630370927934309E-2</v>
      </c>
      <c r="O44">
        <f t="shared" si="13"/>
        <v>3.7979306877829237E-2</v>
      </c>
      <c r="P44">
        <f t="shared" si="14"/>
        <v>0.20743293112499006</v>
      </c>
      <c r="Q44">
        <f t="shared" si="15"/>
        <v>0.3075005864421001</v>
      </c>
      <c r="R44">
        <f t="shared" si="16"/>
        <v>1.263037092793431E-3</v>
      </c>
      <c r="S44">
        <f t="shared" si="17"/>
        <v>0.60813319913581809</v>
      </c>
      <c r="T44">
        <f t="shared" si="18"/>
        <v>24.691042792398857</v>
      </c>
      <c r="U44">
        <f t="shared" si="19"/>
        <v>39.392059089867303</v>
      </c>
      <c r="V44" s="23">
        <f t="shared" si="20"/>
        <v>5.4309107835063652E-4</v>
      </c>
      <c r="W44" s="23">
        <f t="shared" si="21"/>
        <v>0.26149011520242788</v>
      </c>
      <c r="X44" s="23">
        <f t="shared" si="22"/>
        <v>10.616857677606403</v>
      </c>
      <c r="Y44" s="23">
        <f t="shared" si="23"/>
        <v>16.938121589329221</v>
      </c>
      <c r="Z44">
        <f t="shared" si="24"/>
        <v>1.4412006110195385E-3</v>
      </c>
      <c r="AA44">
        <f t="shared" si="25"/>
        <v>6.9465412444265464E-3</v>
      </c>
      <c r="AB44">
        <f t="shared" si="26"/>
        <v>7.8541207014773587E-2</v>
      </c>
      <c r="AC44">
        <f t="shared" si="27"/>
        <v>0.13782781765012264</v>
      </c>
      <c r="AD44">
        <f t="shared" si="28"/>
        <v>1.4412006110195384E-4</v>
      </c>
      <c r="AE44">
        <f t="shared" si="29"/>
        <v>0.1115058738124626</v>
      </c>
      <c r="AF44">
        <f t="shared" si="30"/>
        <v>9.5372320580447756</v>
      </c>
      <c r="AG44">
        <f t="shared" si="31"/>
        <v>23.641937448471005</v>
      </c>
      <c r="AH44" s="23">
        <f t="shared" si="32"/>
        <v>5.6426151107102767E-5</v>
      </c>
      <c r="AI44" s="23">
        <f t="shared" si="33"/>
        <v>4.3656984579131912E-2</v>
      </c>
      <c r="AJ44" s="23">
        <f t="shared" si="34"/>
        <v>3.7340346176375823</v>
      </c>
      <c r="AK44" s="23">
        <f t="shared" si="35"/>
        <v>9.2563347859558398</v>
      </c>
    </row>
    <row r="45" spans="1:37">
      <c r="A45" s="33">
        <f>(37)*t_max/(41-1)</f>
        <v>55.5</v>
      </c>
      <c r="B45">
        <f t="shared" si="0"/>
        <v>0.11068984325942167</v>
      </c>
      <c r="C45">
        <f t="shared" si="1"/>
        <v>0.20764689745253112</v>
      </c>
      <c r="D45">
        <f t="shared" si="2"/>
        <v>0.54784444507187458</v>
      </c>
      <c r="E45">
        <f t="shared" si="3"/>
        <v>0.686046278684313</v>
      </c>
      <c r="F45">
        <f t="shared" si="4"/>
        <v>1.1068984325942168E-2</v>
      </c>
      <c r="G45">
        <f t="shared" si="5"/>
        <v>3.3116502203576665</v>
      </c>
      <c r="H45">
        <f t="shared" si="6"/>
        <v>62.499403115354887</v>
      </c>
      <c r="I45">
        <f t="shared" si="7"/>
        <v>53.591273072642068</v>
      </c>
      <c r="J45" s="23">
        <f t="shared" si="8"/>
        <v>5.2526880837172321E-3</v>
      </c>
      <c r="K45" s="23">
        <f t="shared" si="9"/>
        <v>1.5715141640542192</v>
      </c>
      <c r="L45" s="23">
        <f t="shared" si="10"/>
        <v>29.6585359881717</v>
      </c>
      <c r="M45" s="23">
        <f t="shared" si="11"/>
        <v>25.431262089707822</v>
      </c>
      <c r="N45">
        <f t="shared" si="12"/>
        <v>1.2630370927942895E-2</v>
      </c>
      <c r="O45">
        <f t="shared" si="13"/>
        <v>3.7979306879315604E-2</v>
      </c>
      <c r="P45">
        <f t="shared" si="14"/>
        <v>0.20743293315204131</v>
      </c>
      <c r="Q45">
        <f t="shared" si="15"/>
        <v>0.30750059596510015</v>
      </c>
      <c r="R45">
        <f t="shared" si="16"/>
        <v>1.2630370927942895E-3</v>
      </c>
      <c r="S45">
        <f t="shared" si="17"/>
        <v>0.60813319915977271</v>
      </c>
      <c r="T45">
        <f t="shared" si="18"/>
        <v>24.69104304306056</v>
      </c>
      <c r="U45">
        <f t="shared" si="19"/>
        <v>39.392062162330497</v>
      </c>
      <c r="V45" s="23">
        <f t="shared" si="20"/>
        <v>5.4309107835100569E-4</v>
      </c>
      <c r="W45" s="23">
        <f t="shared" si="21"/>
        <v>0.26149011521272808</v>
      </c>
      <c r="X45" s="23">
        <f t="shared" si="22"/>
        <v>10.616857785387984</v>
      </c>
      <c r="Y45" s="23">
        <f t="shared" si="23"/>
        <v>16.938122910452218</v>
      </c>
      <c r="Z45">
        <f t="shared" si="24"/>
        <v>1.4412006112391328E-3</v>
      </c>
      <c r="AA45">
        <f t="shared" si="25"/>
        <v>6.9465412824550017E-3</v>
      </c>
      <c r="AB45">
        <f t="shared" si="26"/>
        <v>7.8541258914803902E-2</v>
      </c>
      <c r="AC45">
        <f t="shared" si="27"/>
        <v>0.13782806151324903</v>
      </c>
      <c r="AD45">
        <f t="shared" si="28"/>
        <v>1.4412006112391327E-4</v>
      </c>
      <c r="AE45">
        <f t="shared" si="29"/>
        <v>0.11150587442533422</v>
      </c>
      <c r="AF45">
        <f t="shared" si="30"/>
        <v>9.5372384759147781</v>
      </c>
      <c r="AG45">
        <f t="shared" si="31"/>
        <v>23.642016131040506</v>
      </c>
      <c r="AH45" s="23">
        <f t="shared" si="32"/>
        <v>5.6426151115700368E-5</v>
      </c>
      <c r="AI45" s="23">
        <f t="shared" si="33"/>
        <v>4.3656984819084539E-2</v>
      </c>
      <c r="AJ45" s="23">
        <f t="shared" si="34"/>
        <v>3.7340371303738369</v>
      </c>
      <c r="AK45" s="23">
        <f t="shared" si="35"/>
        <v>9.2563655919000105</v>
      </c>
    </row>
    <row r="46" spans="1:37">
      <c r="A46" s="33">
        <f>(38)*t_max/(41-1)</f>
        <v>57</v>
      </c>
      <c r="B46">
        <f t="shared" si="0"/>
        <v>0.11068984325942172</v>
      </c>
      <c r="C46">
        <f t="shared" si="1"/>
        <v>0.20764689745254139</v>
      </c>
      <c r="D46">
        <f t="shared" si="2"/>
        <v>0.54784444508896479</v>
      </c>
      <c r="E46">
        <f t="shared" si="3"/>
        <v>0.68604627876807556</v>
      </c>
      <c r="F46">
        <f t="shared" si="4"/>
        <v>1.1068984325942173E-2</v>
      </c>
      <c r="G46">
        <f t="shared" si="5"/>
        <v>3.3116502203578322</v>
      </c>
      <c r="H46">
        <f t="shared" si="6"/>
        <v>62.49940311746829</v>
      </c>
      <c r="I46">
        <f t="shared" si="7"/>
        <v>53.591273099981414</v>
      </c>
      <c r="J46" s="23">
        <f t="shared" si="8"/>
        <v>5.2526880837172347E-3</v>
      </c>
      <c r="K46" s="23">
        <f t="shared" si="9"/>
        <v>1.5715141640542978</v>
      </c>
      <c r="L46" s="23">
        <f t="shared" si="10"/>
        <v>29.658535989174599</v>
      </c>
      <c r="M46" s="23">
        <f t="shared" si="11"/>
        <v>25.431262102681465</v>
      </c>
      <c r="N46">
        <f t="shared" si="12"/>
        <v>1.2630370927945915E-2</v>
      </c>
      <c r="O46">
        <f t="shared" si="13"/>
        <v>3.7979306879917671E-2</v>
      </c>
      <c r="P46">
        <f t="shared" si="14"/>
        <v>0.20743293415299066</v>
      </c>
      <c r="Q46">
        <f t="shared" si="15"/>
        <v>0.30750060087142539</v>
      </c>
      <c r="R46">
        <f t="shared" si="16"/>
        <v>1.2630370927945915E-3</v>
      </c>
      <c r="S46">
        <f t="shared" si="17"/>
        <v>0.60813319916947584</v>
      </c>
      <c r="T46">
        <f t="shared" si="18"/>
        <v>24.691043166839613</v>
      </c>
      <c r="U46">
        <f t="shared" si="19"/>
        <v>39.392063763751096</v>
      </c>
      <c r="V46" s="23">
        <f t="shared" si="20"/>
        <v>5.4309107835113558E-4</v>
      </c>
      <c r="W46" s="23">
        <f t="shared" si="21"/>
        <v>0.2614901152169003</v>
      </c>
      <c r="X46" s="23">
        <f t="shared" si="22"/>
        <v>10.616857838611519</v>
      </c>
      <c r="Y46" s="23">
        <f t="shared" si="23"/>
        <v>16.938123599044221</v>
      </c>
      <c r="Z46">
        <f t="shared" si="24"/>
        <v>1.4412006113199087E-3</v>
      </c>
      <c r="AA46">
        <f t="shared" si="25"/>
        <v>6.9465412985692046E-3</v>
      </c>
      <c r="AB46">
        <f t="shared" si="26"/>
        <v>7.8541285723866691E-2</v>
      </c>
      <c r="AC46">
        <f t="shared" si="27"/>
        <v>0.13782819294238655</v>
      </c>
      <c r="AD46">
        <f t="shared" si="28"/>
        <v>1.4412006113199088E-4</v>
      </c>
      <c r="AE46">
        <f t="shared" si="29"/>
        <v>0.11150587468503673</v>
      </c>
      <c r="AF46">
        <f t="shared" si="30"/>
        <v>9.5372417911680429</v>
      </c>
      <c r="AG46">
        <f t="shared" si="31"/>
        <v>23.642059031132927</v>
      </c>
      <c r="AH46" s="23">
        <f t="shared" si="32"/>
        <v>5.6426151118862925E-5</v>
      </c>
      <c r="AI46" s="23">
        <f t="shared" si="33"/>
        <v>4.3656984920763739E-2</v>
      </c>
      <c r="AJ46" s="23">
        <f t="shared" si="34"/>
        <v>3.734038428367886</v>
      </c>
      <c r="AK46" s="23">
        <f t="shared" si="35"/>
        <v>9.256382388223015</v>
      </c>
    </row>
    <row r="47" spans="1:37">
      <c r="A47" s="33">
        <f>(39)*t_max/(41-1)</f>
        <v>58.5</v>
      </c>
      <c r="B47">
        <f t="shared" si="0"/>
        <v>0.11068984325942173</v>
      </c>
      <c r="C47">
        <f t="shared" si="1"/>
        <v>0.20764689745254547</v>
      </c>
      <c r="D47">
        <f t="shared" si="2"/>
        <v>0.54784444509716401</v>
      </c>
      <c r="E47">
        <f t="shared" si="3"/>
        <v>0.68604627881000457</v>
      </c>
      <c r="F47">
        <f t="shared" si="4"/>
        <v>1.1068984325942173E-2</v>
      </c>
      <c r="G47">
        <f t="shared" si="5"/>
        <v>3.3116502203578979</v>
      </c>
      <c r="H47">
        <f t="shared" si="6"/>
        <v>62.499403118482249</v>
      </c>
      <c r="I47">
        <f t="shared" si="7"/>
        <v>53.591273113817891</v>
      </c>
      <c r="J47" s="23">
        <f t="shared" si="8"/>
        <v>5.2526880837172347E-3</v>
      </c>
      <c r="K47" s="23">
        <f t="shared" si="9"/>
        <v>1.5715141640543289</v>
      </c>
      <c r="L47" s="23">
        <f t="shared" si="10"/>
        <v>29.658535989655764</v>
      </c>
      <c r="M47" s="23">
        <f t="shared" si="11"/>
        <v>25.431262109247445</v>
      </c>
      <c r="N47">
        <f t="shared" si="12"/>
        <v>1.2630370927946975E-2</v>
      </c>
      <c r="O47">
        <f t="shared" si="13"/>
        <v>3.7979306880161254E-2</v>
      </c>
      <c r="P47">
        <f t="shared" si="14"/>
        <v>0.20743293464667115</v>
      </c>
      <c r="Q47">
        <f t="shared" si="15"/>
        <v>0.30750060339621704</v>
      </c>
      <c r="R47">
        <f t="shared" si="16"/>
        <v>1.2630370927946975E-3</v>
      </c>
      <c r="S47">
        <f t="shared" si="17"/>
        <v>0.60813319917340147</v>
      </c>
      <c r="T47">
        <f t="shared" si="18"/>
        <v>24.691043227890315</v>
      </c>
      <c r="U47">
        <f t="shared" si="19"/>
        <v>39.392064596947641</v>
      </c>
      <c r="V47" s="23">
        <f t="shared" si="20"/>
        <v>5.4309107835118122E-4</v>
      </c>
      <c r="W47" s="23">
        <f t="shared" si="21"/>
        <v>0.26149011521858828</v>
      </c>
      <c r="X47" s="23">
        <f t="shared" si="22"/>
        <v>10.616857864862602</v>
      </c>
      <c r="Y47" s="23">
        <f t="shared" si="23"/>
        <v>16.938123957308925</v>
      </c>
      <c r="Z47">
        <f t="shared" si="24"/>
        <v>1.4412006113495165E-3</v>
      </c>
      <c r="AA47">
        <f t="shared" si="25"/>
        <v>6.9465413053733825E-3</v>
      </c>
      <c r="AB47">
        <f t="shared" si="26"/>
        <v>7.854129952340351E-2</v>
      </c>
      <c r="AC47">
        <f t="shared" si="27"/>
        <v>0.13782826352642508</v>
      </c>
      <c r="AD47">
        <f t="shared" si="28"/>
        <v>1.4412006113495164E-4</v>
      </c>
      <c r="AE47">
        <f t="shared" si="29"/>
        <v>0.11150587479469683</v>
      </c>
      <c r="AF47">
        <f t="shared" si="30"/>
        <v>9.5372434976796594</v>
      </c>
      <c r="AG47">
        <f t="shared" si="31"/>
        <v>23.642082325136759</v>
      </c>
      <c r="AH47" s="23">
        <f t="shared" si="32"/>
        <v>5.6426151120022127E-5</v>
      </c>
      <c r="AI47" s="23">
        <f t="shared" si="33"/>
        <v>4.3656984963698062E-2</v>
      </c>
      <c r="AJ47" s="23">
        <f t="shared" si="34"/>
        <v>3.7340390965044494</v>
      </c>
      <c r="AK47" s="23">
        <f t="shared" si="35"/>
        <v>9.2563915083341914</v>
      </c>
    </row>
    <row r="48" spans="1:37">
      <c r="A48" s="33">
        <f>(40)*t_max/(41-1)</f>
        <v>60</v>
      </c>
      <c r="B48">
        <f t="shared" si="0"/>
        <v>0.11068984325942174</v>
      </c>
      <c r="C48">
        <f t="shared" si="1"/>
        <v>0.20764689745254705</v>
      </c>
      <c r="D48">
        <f t="shared" si="2"/>
        <v>0.54784444510109909</v>
      </c>
      <c r="E48">
        <f t="shared" si="3"/>
        <v>0.686046278831</v>
      </c>
      <c r="F48">
        <f t="shared" si="4"/>
        <v>1.1068984325942175E-2</v>
      </c>
      <c r="G48">
        <f t="shared" si="5"/>
        <v>3.3116502203579237</v>
      </c>
      <c r="H48">
        <f t="shared" si="6"/>
        <v>62.499403118968885</v>
      </c>
      <c r="I48">
        <f t="shared" si="7"/>
        <v>53.591273120818954</v>
      </c>
      <c r="J48" s="23">
        <f t="shared" si="8"/>
        <v>5.2526880837172355E-3</v>
      </c>
      <c r="K48" s="23">
        <f t="shared" si="9"/>
        <v>1.5715141640543411</v>
      </c>
      <c r="L48" s="23">
        <f t="shared" si="10"/>
        <v>29.65853598988669</v>
      </c>
      <c r="M48" s="23">
        <f t="shared" si="11"/>
        <v>25.431262112569737</v>
      </c>
      <c r="N48">
        <f t="shared" si="12"/>
        <v>1.2630370927947349E-2</v>
      </c>
      <c r="O48">
        <f t="shared" si="13"/>
        <v>3.7979306880259696E-2</v>
      </c>
      <c r="P48">
        <f t="shared" si="14"/>
        <v>0.20743293488990094</v>
      </c>
      <c r="Q48">
        <f t="shared" si="15"/>
        <v>0.30750060469408913</v>
      </c>
      <c r="R48">
        <f t="shared" si="16"/>
        <v>1.2630370927947351E-3</v>
      </c>
      <c r="S48">
        <f t="shared" si="17"/>
        <v>0.60813319917498809</v>
      </c>
      <c r="T48">
        <f t="shared" si="18"/>
        <v>24.691043257969731</v>
      </c>
      <c r="U48">
        <f t="shared" si="19"/>
        <v>39.392065029740117</v>
      </c>
      <c r="V48" s="23">
        <f t="shared" si="20"/>
        <v>5.4309107835119727E-4</v>
      </c>
      <c r="W48" s="23">
        <f t="shared" si="21"/>
        <v>0.26149011521927051</v>
      </c>
      <c r="X48" s="23">
        <f t="shared" si="22"/>
        <v>10.616857877796397</v>
      </c>
      <c r="Y48" s="23">
        <f t="shared" si="23"/>
        <v>16.938124143404593</v>
      </c>
      <c r="Z48">
        <f t="shared" si="24"/>
        <v>1.4412006113603342E-3</v>
      </c>
      <c r="AA48">
        <f t="shared" si="25"/>
        <v>6.9465413082371464E-3</v>
      </c>
      <c r="AB48">
        <f t="shared" si="26"/>
        <v>7.8541306603580816E-2</v>
      </c>
      <c r="AC48">
        <f t="shared" si="27"/>
        <v>0.13782830131134555</v>
      </c>
      <c r="AD48">
        <f t="shared" si="28"/>
        <v>1.4412006113603343E-4</v>
      </c>
      <c r="AE48">
        <f t="shared" si="29"/>
        <v>0.11150587484085145</v>
      </c>
      <c r="AF48">
        <f t="shared" si="30"/>
        <v>9.5372443732616023</v>
      </c>
      <c r="AG48">
        <f t="shared" si="31"/>
        <v>23.642094925425177</v>
      </c>
      <c r="AH48" s="23">
        <f t="shared" si="32"/>
        <v>5.6426151120445671E-5</v>
      </c>
      <c r="AI48" s="23">
        <f t="shared" si="33"/>
        <v>4.3656984981768607E-2</v>
      </c>
      <c r="AJ48" s="23">
        <f t="shared" si="34"/>
        <v>3.7340394393139005</v>
      </c>
      <c r="AK48" s="23">
        <f t="shared" si="35"/>
        <v>9.2563964416222628</v>
      </c>
    </row>
  </sheetData>
  <mergeCells count="5">
    <mergeCell ref="B1:H1"/>
    <mergeCell ref="B2:H2"/>
    <mergeCell ref="J6:M6"/>
    <mergeCell ref="V6:Y6"/>
    <mergeCell ref="AH6:AK6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5A6B74"/>
  </sheetPr>
  <dimension ref="B2:AG71"/>
  <sheetViews>
    <sheetView showGridLines="0" workbookViewId="0">
      <selection activeCell="M9" sqref="M9"/>
    </sheetView>
  </sheetViews>
  <sheetFormatPr defaultRowHeight="15"/>
  <cols>
    <col min="2" max="10" width="11" customWidth="1"/>
    <col min="11" max="14" width="9" customWidth="1"/>
    <col min="20" max="33" width="13" hidden="1" customWidth="1"/>
  </cols>
  <sheetData>
    <row r="2" spans="2:13">
      <c r="B2" s="51" t="s">
        <v>66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2:13" ht="26.25" customHeight="1">
      <c r="B3" s="53" t="s">
        <v>67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5" spans="2:13">
      <c r="B5" s="17" t="s">
        <v>68</v>
      </c>
      <c r="C5" s="34">
        <v>111.7</v>
      </c>
      <c r="E5" s="18" t="s">
        <v>26</v>
      </c>
      <c r="F5" s="18" t="s">
        <v>69</v>
      </c>
      <c r="G5" s="18" t="s">
        <v>70</v>
      </c>
      <c r="H5" s="18" t="s">
        <v>71</v>
      </c>
    </row>
    <row r="6" spans="2:13">
      <c r="B6" s="17" t="s">
        <v>72</v>
      </c>
      <c r="C6" s="34">
        <v>16.399999999999999</v>
      </c>
      <c r="E6" t="s">
        <v>31</v>
      </c>
      <c r="F6" s="35">
        <v>0.1</v>
      </c>
      <c r="G6" s="35">
        <v>2</v>
      </c>
    </row>
    <row r="7" spans="2:13">
      <c r="B7" s="17" t="s">
        <v>73</v>
      </c>
      <c r="C7" s="34">
        <v>1.64</v>
      </c>
      <c r="E7" t="s">
        <v>33</v>
      </c>
      <c r="F7" s="35">
        <v>15.8</v>
      </c>
      <c r="G7" s="35">
        <v>1.5</v>
      </c>
      <c r="H7" s="35">
        <v>0.79491999999999996</v>
      </c>
    </row>
    <row r="8" spans="2:13">
      <c r="B8" s="17" t="s">
        <v>74</v>
      </c>
      <c r="C8" s="34">
        <v>0</v>
      </c>
      <c r="E8" t="s">
        <v>34</v>
      </c>
      <c r="F8" s="35">
        <v>98.5</v>
      </c>
      <c r="G8" s="35">
        <v>0.8</v>
      </c>
      <c r="H8" s="35">
        <v>0.73743999999999998</v>
      </c>
    </row>
    <row r="9" spans="2:13">
      <c r="B9" s="17" t="s">
        <v>75</v>
      </c>
      <c r="C9" s="34">
        <v>5.3</v>
      </c>
      <c r="E9" t="s">
        <v>35</v>
      </c>
      <c r="F9" s="35">
        <v>3.1</v>
      </c>
      <c r="G9" s="35">
        <v>0.65</v>
      </c>
      <c r="H9" s="35">
        <v>0.64498999999999995</v>
      </c>
    </row>
    <row r="10" spans="2:13">
      <c r="B10" s="17" t="s">
        <v>76</v>
      </c>
      <c r="C10" s="34">
        <v>100</v>
      </c>
    </row>
    <row r="11" spans="2:13">
      <c r="B11" s="17" t="s">
        <v>77</v>
      </c>
      <c r="C11" s="34">
        <v>10</v>
      </c>
    </row>
    <row r="12" spans="2:13">
      <c r="B12" s="17" t="s">
        <v>57</v>
      </c>
      <c r="C12" s="34">
        <v>33</v>
      </c>
    </row>
    <row r="13" spans="2:13">
      <c r="B13" s="17" t="s">
        <v>78</v>
      </c>
      <c r="C13" s="34">
        <v>1</v>
      </c>
    </row>
    <row r="15" spans="2:13">
      <c r="B15" t="s">
        <v>79</v>
      </c>
      <c r="C15">
        <f>$C$5/$C$9</f>
        <v>21.075471698113208</v>
      </c>
    </row>
    <row r="16" spans="2:13">
      <c r="B16" t="s">
        <v>80</v>
      </c>
      <c r="C16">
        <f>$G$6/$C$9</f>
        <v>0.37735849056603776</v>
      </c>
    </row>
    <row r="17" spans="2:3">
      <c r="B17" t="s">
        <v>81</v>
      </c>
      <c r="C17">
        <f>$G$7/$C$9</f>
        <v>0.28301886792452829</v>
      </c>
    </row>
    <row r="18" spans="2:3">
      <c r="B18" t="s">
        <v>82</v>
      </c>
      <c r="C18">
        <f>$G$8/$C$9</f>
        <v>0.15094339622641512</v>
      </c>
    </row>
    <row r="19" spans="2:3">
      <c r="B19" t="s">
        <v>83</v>
      </c>
      <c r="C19">
        <f>$G$9/$C$9</f>
        <v>0.12264150943396228</v>
      </c>
    </row>
    <row r="20" spans="2:3">
      <c r="B20" t="s">
        <v>84</v>
      </c>
      <c r="C20">
        <f>SQRT(1+4*$C$16*$C$6/$C$15)</f>
        <v>1.4746439413651129</v>
      </c>
    </row>
    <row r="21" spans="2:3">
      <c r="B21" t="s">
        <v>85</v>
      </c>
      <c r="C21">
        <f>SQRT(1+4*$C$17*$C$6/$C$15)</f>
        <v>1.3714704026531617</v>
      </c>
    </row>
    <row r="22" spans="2:3">
      <c r="B22" t="s">
        <v>86</v>
      </c>
      <c r="C22">
        <f>SQRT(1+4*$C$18*$C$6/$C$15)</f>
        <v>1.2123654158387782</v>
      </c>
    </row>
    <row r="23" spans="2:3">
      <c r="B23" t="s">
        <v>87</v>
      </c>
      <c r="C23">
        <f>SQRT(1+4*$C$19*$C$6/$C$15)</f>
        <v>1.175473009042135</v>
      </c>
    </row>
    <row r="24" spans="2:3">
      <c r="B24" t="s">
        <v>88</v>
      </c>
      <c r="C24">
        <f>$H$7*$C$16/($C$16-$C$17)</f>
        <v>3.179679999999999</v>
      </c>
    </row>
    <row r="25" spans="2:3">
      <c r="B25" t="s">
        <v>89</v>
      </c>
      <c r="C25">
        <f>$H$8*$C$17/($C$17-$C$18)</f>
        <v>1.5802285714285715</v>
      </c>
    </row>
    <row r="26" spans="2:3">
      <c r="B26" t="s">
        <v>90</v>
      </c>
      <c r="C26">
        <f>$H$7*$H$8*$C$16*$C$17/(($C$16-$C$18)*($C$17-$C$18))</f>
        <v>2.09359216</v>
      </c>
    </row>
    <row r="27" spans="2:3">
      <c r="B27" t="s">
        <v>91</v>
      </c>
      <c r="C27">
        <f>$H$9*$C$18/($C$18-$C$19)</f>
        <v>3.4399466666666663</v>
      </c>
    </row>
    <row r="28" spans="2:3">
      <c r="B28" t="s">
        <v>92</v>
      </c>
      <c r="C28">
        <f>$H$8*$H$9*$C$17*$C$18/(($C$17-$C$19)*($C$18-$C$19))</f>
        <v>4.4766251821176475</v>
      </c>
    </row>
    <row r="29" spans="2:3">
      <c r="B29" t="s">
        <v>93</v>
      </c>
      <c r="C29">
        <f>$H$7*$H$8*$H$9*$C$16*$C$17*$C$18/(($C$16-$C$19)*($C$17-$C$19)*($C$18-$C$19))</f>
        <v>5.2719390959540142</v>
      </c>
    </row>
    <row r="31" spans="2:3">
      <c r="B31" t="s">
        <v>94</v>
      </c>
      <c r="C31">
        <f>$F$6</f>
        <v>0.1</v>
      </c>
    </row>
    <row r="32" spans="2:3">
      <c r="B32" t="s">
        <v>95</v>
      </c>
      <c r="C32">
        <f>$F$7+$C$24*$F$6</f>
        <v>16.117968000000001</v>
      </c>
    </row>
    <row r="33" spans="2:33">
      <c r="B33" t="s">
        <v>96</v>
      </c>
      <c r="C33">
        <f>$F$8+$C$25*$F$7+$C$26*$F$6</f>
        <v>123.67697064457143</v>
      </c>
    </row>
    <row r="34" spans="2:33">
      <c r="B34" t="s">
        <v>97</v>
      </c>
      <c r="C34">
        <f>$F$9+$C$27*$F$8+$C$28*$F$7+$C$29*$F$6</f>
        <v>413.19261845372085</v>
      </c>
    </row>
    <row r="38" spans="2:33">
      <c r="B38" s="32" t="s">
        <v>43</v>
      </c>
      <c r="C38" s="32" t="s">
        <v>98</v>
      </c>
      <c r="D38" s="32" t="s">
        <v>99</v>
      </c>
      <c r="E38" s="32" t="s">
        <v>100</v>
      </c>
      <c r="F38" s="32" t="s">
        <v>101</v>
      </c>
      <c r="G38" s="32" t="s">
        <v>102</v>
      </c>
      <c r="H38" s="32" t="s">
        <v>103</v>
      </c>
      <c r="I38" s="32" t="s">
        <v>104</v>
      </c>
      <c r="J38" s="32" t="s">
        <v>105</v>
      </c>
      <c r="K38" s="32" t="s">
        <v>106</v>
      </c>
      <c r="L38" s="32" t="s">
        <v>107</v>
      </c>
      <c r="M38" s="32" t="s">
        <v>108</v>
      </c>
      <c r="N38" s="32" t="s">
        <v>109</v>
      </c>
    </row>
    <row r="39" spans="2:33">
      <c r="B39" s="22">
        <v>20</v>
      </c>
      <c r="C39" s="23">
        <f t="shared" ref="C39:C68" si="0">(1/8)*X39*AC39*AG39</f>
        <v>7.4869990391071478E-2</v>
      </c>
      <c r="D39" s="23">
        <f t="shared" ref="D39:D68" si="1">(1/8)*X39*AD39*AG39</f>
        <v>12.613023509640826</v>
      </c>
      <c r="E39" s="23">
        <f t="shared" ref="E39:E68" si="2">(1/8)*X39*AE39*AG39</f>
        <v>88.567255207444447</v>
      </c>
      <c r="F39" s="23">
        <f t="shared" ref="F39:F68" si="3">(1/8)*X39*AF39*AG39</f>
        <v>9.740633843841195</v>
      </c>
      <c r="G39" s="23">
        <v>7.4869990391071478E-2</v>
      </c>
      <c r="H39" s="23">
        <v>12.613023509640829</v>
      </c>
      <c r="I39" s="23">
        <v>88.567255207444447</v>
      </c>
      <c r="J39" s="23">
        <v>9.7406338438412305</v>
      </c>
      <c r="K39" s="29">
        <f t="shared" ref="K39:K68" si="4">IF(G39=0,0,100*ABS(C39-G39)/G39)</f>
        <v>0</v>
      </c>
      <c r="L39" s="29">
        <f t="shared" ref="L39:L68" si="5">IF(H39=0,0,100*ABS(D39-H39)/H39)</f>
        <v>2.8167026534795292E-14</v>
      </c>
      <c r="M39" s="29">
        <f t="shared" ref="M39:M68" si="6">IF(I39=0,0,100*ABS(E39-I39)/I39)</f>
        <v>0</v>
      </c>
      <c r="N39" s="29">
        <f t="shared" ref="N39:N68" si="7">IF(J39=0,0,100*ABS(F39-J39)/J39)</f>
        <v>3.6473126243697138E-13</v>
      </c>
      <c r="T39">
        <f t="shared" ref="T39:T68" si="8">IF($B39&lt;=0,0,IF($C$13=1,IF($C$12&lt;=0,0,EXP($B39*(1-$C$20)/(2*$C$6))*ERFC(($B39-$C$15*$C$12*$C$20)/(2*SQRT($C$6*$C$15*$C$12)))+IF($B39*(1+$C$20)/(2*$C$6)&gt;690,0,EXP($B39*(1+$C$20)/(2*$C$6))*ERFC(($B39+$C$15*$C$12*$C$20)/(2*SQRT($C$6*$C$15*$C$12))))),2*EXP($B39*(1-$C$20)/(2*$C$6))))</f>
        <v>1.4973998088228142</v>
      </c>
      <c r="U39">
        <f t="shared" ref="U39:U68" si="9">IF($B39&lt;=0,0,IF($C$13=1,IF($C$12&lt;=0,0,EXP($B39*(1-$C$21)/(2*$C$6))*ERFC(($B39-$C$15*$C$12*$C$21)/(2*SQRT($C$6*$C$15*$C$12)))+IF($B39*(1+$C$21)/(2*$C$6)&gt;690,0,EXP($B39*(1+$C$21)/(2*$C$6))*ERFC(($B39+$C$15*$C$12*$C$21)/(2*SQRT($C$6*$C$15*$C$12))))),2*EXP($B39*(1-$C$21)/(2*$C$6))))</f>
        <v>1.5946285697156937</v>
      </c>
      <c r="V39">
        <f t="shared" ref="V39:V68" si="10">IF($B39&lt;=0,0,IF($C$13=1,IF($C$12&lt;=0,0,EXP($B39*(1-$C$22)/(2*$C$6))*ERFC(($B39-$C$15*$C$12*$C$22)/(2*SQRT($C$6*$C$15*$C$12)))+IF($B39*(1+$C$22)/(2*$C$6)&gt;690,0,EXP($B39*(1+$C$22)/(2*$C$6))*ERFC(($B39+$C$15*$C$12*$C$22)/(2*SQRT($C$6*$C$15*$C$12))))),2*EXP($B39*(1-$C$22)/(2*$C$6))))</f>
        <v>1.7570848001978234</v>
      </c>
      <c r="W39">
        <f t="shared" ref="W39:W68" si="11">IF($B39&lt;=0,0,IF($C$13=1,IF($C$12&lt;=0,0,EXP($B39*(1-$C$23)/(2*$C$6))*ERFC(($B39-$C$15*$C$12*$C$23)/(2*SQRT($C$6*$C$15*$C$12)))+IF($B39*(1+$C$23)/(2*$C$6)&gt;690,0,EXP($B39*(1+$C$23)/(2*$C$6))*ERFC(($B39+$C$15*$C$12*$C$23)/(2*SQRT($C$6*$C$15*$C$12))))),2*EXP($B39*(1-$C$23)/(2*$C$6))))</f>
        <v>1.7970590012160583</v>
      </c>
      <c r="X39">
        <f t="shared" ref="X39:X68" si="12">IF($B39&lt;=0,0,IF($C$8&lt;=1E-30,2,ERF((0+$C$11)/(2*SQRT($C$8*$B39)))-ERF((0-$C$11)/(2*SQRT($C$8*$B39)))))</f>
        <v>2</v>
      </c>
      <c r="Y39">
        <f t="shared" ref="Y39:Y68" si="13">$C$31*T39</f>
        <v>0.14973998088228144</v>
      </c>
      <c r="Z39">
        <f t="shared" ref="Z39:Z68" si="14">$C$32*U39</f>
        <v>25.702172258563323</v>
      </c>
      <c r="AA39">
        <f t="shared" ref="AA39:AA68" si="15">$C$33*V39</f>
        <v>217.31092525408886</v>
      </c>
      <c r="AB39">
        <f t="shared" ref="AB39:AB68" si="16">$C$34*W39</f>
        <v>742.53151422829148</v>
      </c>
      <c r="AC39">
        <f t="shared" ref="AC39:AC68" si="17">Y39</f>
        <v>0.14973998088228144</v>
      </c>
      <c r="AD39">
        <f t="shared" ref="AD39:AD68" si="18">Z39-$C$24*AC39</f>
        <v>25.226047036151549</v>
      </c>
      <c r="AE39">
        <f t="shared" ref="AE39:AE68" si="19">AA39-$C$25*AD39-$C$26*AC39</f>
        <v>177.13451053334745</v>
      </c>
      <c r="AF39">
        <f t="shared" ref="AF39:AF68" si="20">AB39-$C$27*AE39-$C$28*AD39-$C$29*AC39</f>
        <v>19.481267700710472</v>
      </c>
      <c r="AG39">
        <f t="shared" ref="AG39:AG68" si="21">IF($B39&lt;=0,0,ERF((0+$C$10/2)/(2*SQRT($C$7*$B39)))-ERF((0-$C$10/2)/(2*SQRT($C$7*$B39))))</f>
        <v>1.9999999986625017</v>
      </c>
    </row>
    <row r="40" spans="2:33">
      <c r="B40" s="22">
        <v>40</v>
      </c>
      <c r="C40" s="23">
        <f t="shared" si="0"/>
        <v>5.6054442714892412E-2</v>
      </c>
      <c r="D40" s="23">
        <f t="shared" si="1"/>
        <v>10.06798921438218</v>
      </c>
      <c r="E40" s="23">
        <f t="shared" si="2"/>
        <v>79.430138902458708</v>
      </c>
      <c r="F40" s="23">
        <f t="shared" si="3"/>
        <v>14.987425135430431</v>
      </c>
      <c r="G40" s="23">
        <v>5.6054442714892412E-2</v>
      </c>
      <c r="H40" s="23">
        <v>10.06798921438218</v>
      </c>
      <c r="I40" s="23">
        <v>79.430138902458694</v>
      </c>
      <c r="J40" s="23">
        <v>14.987425135430479</v>
      </c>
      <c r="K40" s="29">
        <f t="shared" si="4"/>
        <v>0</v>
      </c>
      <c r="L40" s="29">
        <f t="shared" si="5"/>
        <v>0</v>
      </c>
      <c r="M40" s="29">
        <f t="shared" si="6"/>
        <v>1.7891010782006977E-14</v>
      </c>
      <c r="N40" s="29">
        <f t="shared" si="7"/>
        <v>3.2001250535306959E-13</v>
      </c>
      <c r="T40">
        <f t="shared" si="8"/>
        <v>1.1211030937297024</v>
      </c>
      <c r="U40">
        <f t="shared" si="9"/>
        <v>1.2714201376374705</v>
      </c>
      <c r="V40">
        <f t="shared" si="10"/>
        <v>1.5436734939957544</v>
      </c>
      <c r="W40">
        <f t="shared" si="11"/>
        <v>1.614710517579004</v>
      </c>
      <c r="X40">
        <f t="shared" si="12"/>
        <v>2</v>
      </c>
      <c r="Y40">
        <f t="shared" si="13"/>
        <v>0.11211030937297024</v>
      </c>
      <c r="Z40">
        <f t="shared" si="14"/>
        <v>20.492709092996346</v>
      </c>
      <c r="AA40">
        <f t="shared" si="15"/>
        <v>190.91686140171592</v>
      </c>
      <c r="AB40">
        <f t="shared" si="16"/>
        <v>667.1864668032315</v>
      </c>
      <c r="AC40">
        <f t="shared" si="17"/>
        <v>0.11211030937297024</v>
      </c>
      <c r="AD40">
        <f t="shared" si="18"/>
        <v>20.1362341844893</v>
      </c>
      <c r="AE40">
        <f t="shared" si="19"/>
        <v>158.86229555765081</v>
      </c>
      <c r="AF40">
        <f t="shared" si="20"/>
        <v>29.975230994329959</v>
      </c>
      <c r="AG40">
        <f t="shared" si="21"/>
        <v>1.999974597462207</v>
      </c>
    </row>
    <row r="41" spans="2:33">
      <c r="B41" s="22">
        <v>60</v>
      </c>
      <c r="C41" s="23">
        <f t="shared" si="0"/>
        <v>4.1953169607941598E-2</v>
      </c>
      <c r="D41" s="23">
        <f t="shared" si="1"/>
        <v>8.0331851359359341</v>
      </c>
      <c r="E41" s="23">
        <f t="shared" si="2"/>
        <v>71.051564493554778</v>
      </c>
      <c r="F41" s="23">
        <f t="shared" si="3"/>
        <v>19.037617263175637</v>
      </c>
      <c r="G41" s="23">
        <v>4.1953169607941598E-2</v>
      </c>
      <c r="H41" s="23">
        <v>8.0331851359359341</v>
      </c>
      <c r="I41" s="23">
        <v>71.051564493554764</v>
      </c>
      <c r="J41" s="23">
        <v>19.03761726317569</v>
      </c>
      <c r="K41" s="29">
        <f t="shared" si="4"/>
        <v>0</v>
      </c>
      <c r="L41" s="29">
        <f t="shared" si="5"/>
        <v>0</v>
      </c>
      <c r="M41" s="29">
        <f t="shared" si="6"/>
        <v>2.0000762567995388E-14</v>
      </c>
      <c r="N41" s="29">
        <f t="shared" si="7"/>
        <v>2.7992318810341508E-13</v>
      </c>
      <c r="T41">
        <f t="shared" si="8"/>
        <v>0.83936977910598543</v>
      </c>
      <c r="U41">
        <f t="shared" si="9"/>
        <v>1.0137214376760466</v>
      </c>
      <c r="V41">
        <f t="shared" si="10"/>
        <v>1.3561826055840187</v>
      </c>
      <c r="W41">
        <f t="shared" si="11"/>
        <v>1.4508650064503583</v>
      </c>
      <c r="X41">
        <f t="shared" si="12"/>
        <v>2</v>
      </c>
      <c r="Y41">
        <f t="shared" si="13"/>
        <v>8.3936977910598551E-2</v>
      </c>
      <c r="Z41">
        <f t="shared" si="14"/>
        <v>16.339129693376513</v>
      </c>
      <c r="AA41">
        <f t="shared" si="15"/>
        <v>167.72855629949308</v>
      </c>
      <c r="AB41">
        <f t="shared" si="16"/>
        <v>599.48671103809818</v>
      </c>
      <c r="AC41">
        <f t="shared" si="17"/>
        <v>8.3936977910598551E-2</v>
      </c>
      <c r="AD41">
        <f t="shared" si="18"/>
        <v>16.07223696345374</v>
      </c>
      <c r="AE41">
        <f t="shared" si="19"/>
        <v>142.15501844418537</v>
      </c>
      <c r="AF41">
        <f t="shared" si="20"/>
        <v>38.089137832082045</v>
      </c>
      <c r="AG41">
        <f t="shared" si="21"/>
        <v>1.9992699595463639</v>
      </c>
    </row>
    <row r="42" spans="2:33">
      <c r="B42" s="22">
        <v>80</v>
      </c>
      <c r="C42" s="23">
        <f t="shared" si="0"/>
        <v>3.1358198902891488E-2</v>
      </c>
      <c r="D42" s="23">
        <f t="shared" si="1"/>
        <v>6.4008165043226484</v>
      </c>
      <c r="E42" s="23">
        <f t="shared" si="2"/>
        <v>63.348776834286618</v>
      </c>
      <c r="F42" s="23">
        <f t="shared" si="3"/>
        <v>22.047264601905955</v>
      </c>
      <c r="G42" s="23">
        <v>3.1358198902891488E-2</v>
      </c>
      <c r="H42" s="23">
        <v>6.4008165043226466</v>
      </c>
      <c r="I42" s="23">
        <v>63.348776834286618</v>
      </c>
      <c r="J42" s="23">
        <v>22.047264601905979</v>
      </c>
      <c r="K42" s="29">
        <f t="shared" si="4"/>
        <v>0</v>
      </c>
      <c r="L42" s="29">
        <f t="shared" si="5"/>
        <v>2.7752035044288928E-14</v>
      </c>
      <c r="M42" s="29">
        <f t="shared" si="6"/>
        <v>0</v>
      </c>
      <c r="N42" s="29">
        <f t="shared" si="7"/>
        <v>1.1279855438145188E-13</v>
      </c>
      <c r="T42">
        <f t="shared" si="8"/>
        <v>0.62843607337144614</v>
      </c>
      <c r="U42">
        <f t="shared" si="9"/>
        <v>0.80825458285200558</v>
      </c>
      <c r="V42">
        <f t="shared" si="10"/>
        <v>1.1914638961680795</v>
      </c>
      <c r="W42">
        <f t="shared" si="11"/>
        <v>1.303644943260845</v>
      </c>
      <c r="X42">
        <f t="shared" si="12"/>
        <v>2</v>
      </c>
      <c r="Y42">
        <f t="shared" si="13"/>
        <v>6.2843607337144614E-2</v>
      </c>
      <c r="Z42">
        <f t="shared" si="14"/>
        <v>13.027421502261976</v>
      </c>
      <c r="AA42">
        <f t="shared" si="15"/>
        <v>147.35664531044625</v>
      </c>
      <c r="AB42">
        <f t="shared" si="16"/>
        <v>538.65646763990094</v>
      </c>
      <c r="AC42">
        <f t="shared" si="17"/>
        <v>6.2843607337144614E-2</v>
      </c>
      <c r="AD42">
        <f t="shared" si="18"/>
        <v>12.827598940884204</v>
      </c>
      <c r="AE42">
        <f t="shared" si="19"/>
        <v>126.95453807760698</v>
      </c>
      <c r="AF42">
        <f t="shared" si="20"/>
        <v>44.183967446311094</v>
      </c>
      <c r="AG42">
        <f t="shared" si="21"/>
        <v>1.9959515522182176</v>
      </c>
    </row>
    <row r="43" spans="2:33">
      <c r="B43" s="22">
        <v>100</v>
      </c>
      <c r="C43" s="23">
        <f t="shared" si="0"/>
        <v>2.3389848500242044E-2</v>
      </c>
      <c r="D43" s="23">
        <f t="shared" si="1"/>
        <v>5.0891557435209966</v>
      </c>
      <c r="E43" s="23">
        <f t="shared" si="2"/>
        <v>56.265285242908327</v>
      </c>
      <c r="F43" s="23">
        <f t="shared" si="3"/>
        <v>24.148783625584453</v>
      </c>
      <c r="G43" s="23">
        <v>2.338984850024204E-2</v>
      </c>
      <c r="H43" s="23">
        <v>5.0891557435209966</v>
      </c>
      <c r="I43" s="23">
        <v>56.265285242908327</v>
      </c>
      <c r="J43" s="23">
        <v>24.148783625584461</v>
      </c>
      <c r="K43" s="29">
        <f t="shared" si="4"/>
        <v>1.4833131355757657E-14</v>
      </c>
      <c r="L43" s="29">
        <f t="shared" si="5"/>
        <v>0</v>
      </c>
      <c r="M43" s="29">
        <f t="shared" si="6"/>
        <v>0</v>
      </c>
      <c r="N43" s="29">
        <f t="shared" si="7"/>
        <v>2.9423541441123138E-14</v>
      </c>
      <c r="T43">
        <f t="shared" si="8"/>
        <v>0.47051002803890724</v>
      </c>
      <c r="U43">
        <f t="shared" si="9"/>
        <v>0.64443292413952402</v>
      </c>
      <c r="V43">
        <f t="shared" si="10"/>
        <v>1.046751498632549</v>
      </c>
      <c r="W43">
        <f t="shared" si="11"/>
        <v>1.171363301356964</v>
      </c>
      <c r="X43">
        <f t="shared" si="12"/>
        <v>2</v>
      </c>
      <c r="Y43">
        <f t="shared" si="13"/>
        <v>4.7051002803890726E-2</v>
      </c>
      <c r="Z43">
        <f t="shared" si="14"/>
        <v>10.386949249427277</v>
      </c>
      <c r="AA43">
        <f t="shared" si="15"/>
        <v>129.45905436853892</v>
      </c>
      <c r="AB43">
        <f t="shared" si="16"/>
        <v>483.99866964827885</v>
      </c>
      <c r="AC43">
        <f t="shared" si="17"/>
        <v>4.7051002803890726E-2</v>
      </c>
      <c r="AD43">
        <f t="shared" si="18"/>
        <v>10.237342116831801</v>
      </c>
      <c r="AE43">
        <f t="shared" si="19"/>
        <v>113.18320824944189</v>
      </c>
      <c r="AF43">
        <f t="shared" si="20"/>
        <v>48.577676168623611</v>
      </c>
      <c r="AG43">
        <f t="shared" si="21"/>
        <v>1.9884675867786519</v>
      </c>
    </row>
    <row r="44" spans="2:33">
      <c r="B44" s="22">
        <v>120</v>
      </c>
      <c r="C44" s="23">
        <f t="shared" si="0"/>
        <v>1.7406980033622527E-2</v>
      </c>
      <c r="D44" s="23">
        <f t="shared" si="1"/>
        <v>4.0369217828755009</v>
      </c>
      <c r="E44" s="23">
        <f t="shared" si="2"/>
        <v>49.785017524925244</v>
      </c>
      <c r="F44" s="23">
        <f t="shared" si="3"/>
        <v>25.47208467875091</v>
      </c>
      <c r="G44" s="23">
        <v>1.7406980033622531E-2</v>
      </c>
      <c r="H44" s="23">
        <v>4.0369217828755009</v>
      </c>
      <c r="I44" s="23">
        <v>49.785017524925237</v>
      </c>
      <c r="J44" s="23">
        <v>25.472084678750939</v>
      </c>
      <c r="K44" s="29">
        <f t="shared" si="4"/>
        <v>1.9931354808543401E-14</v>
      </c>
      <c r="L44" s="29">
        <f t="shared" si="5"/>
        <v>0</v>
      </c>
      <c r="M44" s="29">
        <f t="shared" si="6"/>
        <v>1.4272220259927832E-14</v>
      </c>
      <c r="N44" s="29">
        <f t="shared" si="7"/>
        <v>1.1157983254552257E-13</v>
      </c>
      <c r="T44">
        <f t="shared" si="8"/>
        <v>0.35227081297230228</v>
      </c>
      <c r="U44">
        <f t="shared" si="9"/>
        <v>0.51381557493262198</v>
      </c>
      <c r="V44">
        <f t="shared" si="10"/>
        <v>0.91961547157759582</v>
      </c>
      <c r="W44">
        <f t="shared" si="11"/>
        <v>1.0525042114972363</v>
      </c>
      <c r="X44">
        <f t="shared" si="12"/>
        <v>2</v>
      </c>
      <c r="Y44">
        <f t="shared" si="13"/>
        <v>3.5227081297230227E-2</v>
      </c>
      <c r="Z44">
        <f t="shared" si="14"/>
        <v>8.281662994665604</v>
      </c>
      <c r="AA44">
        <f t="shared" si="15"/>
        <v>113.73525568259603</v>
      </c>
      <c r="AB44">
        <f t="shared" si="16"/>
        <v>434.88697108211187</v>
      </c>
      <c r="AC44">
        <f t="shared" si="17"/>
        <v>3.5227081297230227E-2</v>
      </c>
      <c r="AD44">
        <f t="shared" si="18"/>
        <v>8.1696521488064278</v>
      </c>
      <c r="AE44">
        <f t="shared" si="19"/>
        <v>100.75158679719573</v>
      </c>
      <c r="AF44">
        <f t="shared" si="20"/>
        <v>51.548700352105485</v>
      </c>
      <c r="AG44">
        <f t="shared" si="21"/>
        <v>1.9765452478733938</v>
      </c>
    </row>
    <row r="45" spans="2:33">
      <c r="B45" s="22">
        <v>140</v>
      </c>
      <c r="C45" s="23">
        <f t="shared" si="0"/>
        <v>1.2928353000415995E-2</v>
      </c>
      <c r="D45" s="23">
        <f t="shared" si="1"/>
        <v>3.1956173988099335</v>
      </c>
      <c r="E45" s="23">
        <f t="shared" si="2"/>
        <v>43.902869501051335</v>
      </c>
      <c r="F45" s="23">
        <f t="shared" si="3"/>
        <v>26.146164839661193</v>
      </c>
      <c r="G45" s="23">
        <v>1.2928353000416001E-2</v>
      </c>
      <c r="H45" s="23">
        <v>3.1956173988099339</v>
      </c>
      <c r="I45" s="23">
        <v>43.902869501051342</v>
      </c>
      <c r="J45" s="23">
        <v>26.14616483966125</v>
      </c>
      <c r="K45" s="29">
        <f t="shared" si="4"/>
        <v>4.0253932018741787E-14</v>
      </c>
      <c r="L45" s="29">
        <f t="shared" si="5"/>
        <v>1.3896820377040255E-14</v>
      </c>
      <c r="M45" s="29">
        <f t="shared" si="6"/>
        <v>1.6184425843579196E-14</v>
      </c>
      <c r="N45" s="29">
        <f t="shared" si="7"/>
        <v>2.1740633553484657E-13</v>
      </c>
      <c r="T45">
        <f t="shared" si="8"/>
        <v>0.26374512391481286</v>
      </c>
      <c r="U45">
        <f t="shared" si="9"/>
        <v>0.40967249558490315</v>
      </c>
      <c r="V45">
        <f t="shared" si="10"/>
        <v>0.80792099231859826</v>
      </c>
      <c r="W45">
        <f t="shared" si="11"/>
        <v>0.94570557791779131</v>
      </c>
      <c r="X45">
        <f t="shared" si="12"/>
        <v>2</v>
      </c>
      <c r="Y45">
        <f t="shared" si="13"/>
        <v>2.6374512391481288E-2</v>
      </c>
      <c r="Z45">
        <f t="shared" si="14"/>
        <v>6.6030881743176106</v>
      </c>
      <c r="AA45">
        <f t="shared" si="15"/>
        <v>99.921220850120292</v>
      </c>
      <c r="AB45">
        <f t="shared" si="16"/>
        <v>390.75856402614153</v>
      </c>
      <c r="AC45">
        <f t="shared" si="17"/>
        <v>2.6374512391481288E-2</v>
      </c>
      <c r="AD45">
        <f t="shared" si="18"/>
        <v>6.5192256647566653</v>
      </c>
      <c r="AE45">
        <f t="shared" si="19"/>
        <v>89.564136718714764</v>
      </c>
      <c r="AF45">
        <f t="shared" si="20"/>
        <v>53.339535865950403</v>
      </c>
      <c r="AG45">
        <f t="shared" si="21"/>
        <v>1.9607343344996555</v>
      </c>
    </row>
    <row r="46" spans="2:33">
      <c r="B46" s="22">
        <v>160</v>
      </c>
      <c r="C46" s="23">
        <f t="shared" si="0"/>
        <v>9.5863234171252535E-3</v>
      </c>
      <c r="D46" s="23">
        <f t="shared" si="1"/>
        <v>2.525375238974497</v>
      </c>
      <c r="E46" s="23">
        <f t="shared" si="2"/>
        <v>38.605988493060799</v>
      </c>
      <c r="F46" s="23">
        <f t="shared" si="3"/>
        <v>26.293031223652111</v>
      </c>
      <c r="G46" s="23">
        <v>9.5863234171252535E-3</v>
      </c>
      <c r="H46" s="23">
        <v>2.525375238974497</v>
      </c>
      <c r="I46" s="23">
        <v>38.605988493060799</v>
      </c>
      <c r="J46" s="23">
        <v>26.293031223652122</v>
      </c>
      <c r="K46" s="29">
        <f t="shared" si="4"/>
        <v>0</v>
      </c>
      <c r="L46" s="29">
        <f t="shared" si="5"/>
        <v>0</v>
      </c>
      <c r="M46" s="29">
        <f t="shared" si="6"/>
        <v>0</v>
      </c>
      <c r="N46" s="29">
        <f t="shared" si="7"/>
        <v>4.0535992011502576E-14</v>
      </c>
      <c r="T46">
        <f t="shared" si="8"/>
        <v>0.1974659489111143</v>
      </c>
      <c r="U46">
        <f t="shared" si="9"/>
        <v>0.32663772906442207</v>
      </c>
      <c r="V46">
        <f t="shared" si="10"/>
        <v>0.70979250299730201</v>
      </c>
      <c r="W46">
        <f t="shared" si="11"/>
        <v>0.84974344992378936</v>
      </c>
      <c r="X46">
        <f t="shared" si="12"/>
        <v>2</v>
      </c>
      <c r="Y46">
        <f t="shared" si="13"/>
        <v>1.974659489111143E-2</v>
      </c>
      <c r="Z46">
        <f t="shared" si="14"/>
        <v>5.2647364646530255</v>
      </c>
      <c r="AA46">
        <f t="shared" si="15"/>
        <v>87.7849865569342</v>
      </c>
      <c r="AB46">
        <f t="shared" si="16"/>
        <v>351.10772108790877</v>
      </c>
      <c r="AC46">
        <f t="shared" si="17"/>
        <v>1.974659489111143E-2</v>
      </c>
      <c r="AD46">
        <f t="shared" si="18"/>
        <v>5.2019486118096561</v>
      </c>
      <c r="AE46">
        <f t="shared" si="19"/>
        <v>79.52337741719866</v>
      </c>
      <c r="AF46">
        <f t="shared" si="20"/>
        <v>54.160267022213525</v>
      </c>
      <c r="AG46">
        <f t="shared" si="21"/>
        <v>1.9418686553275799</v>
      </c>
    </row>
    <row r="47" spans="2:33">
      <c r="B47" s="22">
        <v>180</v>
      </c>
      <c r="C47" s="23">
        <f t="shared" si="0"/>
        <v>7.099317905530738E-3</v>
      </c>
      <c r="D47" s="23">
        <f t="shared" si="1"/>
        <v>1.9931120792987396</v>
      </c>
      <c r="E47" s="23">
        <f t="shared" si="2"/>
        <v>33.86944167477143</v>
      </c>
      <c r="F47" s="23">
        <f t="shared" si="3"/>
        <v>26.02264726727579</v>
      </c>
      <c r="G47" s="23">
        <v>7.0993179055307389E-3</v>
      </c>
      <c r="H47" s="23">
        <v>1.99311207929874</v>
      </c>
      <c r="I47" s="23">
        <v>33.86944167477143</v>
      </c>
      <c r="J47" s="23">
        <v>26.022647267275762</v>
      </c>
      <c r="K47" s="29">
        <f t="shared" si="4"/>
        <v>1.2217536241230774E-14</v>
      </c>
      <c r="L47" s="29">
        <f t="shared" si="5"/>
        <v>2.2281196048257944E-14</v>
      </c>
      <c r="M47" s="29">
        <f t="shared" si="6"/>
        <v>0</v>
      </c>
      <c r="N47" s="29">
        <f t="shared" si="7"/>
        <v>1.0921913185268101E-13</v>
      </c>
      <c r="T47">
        <f t="shared" si="8"/>
        <v>0.14784273680609575</v>
      </c>
      <c r="U47">
        <f t="shared" si="9"/>
        <v>0.26043292073835889</v>
      </c>
      <c r="V47">
        <f t="shared" si="10"/>
        <v>0.62358220701825173</v>
      </c>
      <c r="W47">
        <f t="shared" si="11"/>
        <v>0.76351796774634573</v>
      </c>
      <c r="X47">
        <f t="shared" si="12"/>
        <v>2</v>
      </c>
      <c r="Y47">
        <f t="shared" si="13"/>
        <v>1.4784273680609576E-2</v>
      </c>
      <c r="Z47">
        <f t="shared" si="14"/>
        <v>4.1976494826074049</v>
      </c>
      <c r="AA47">
        <f t="shared" si="15"/>
        <v>77.122758311873383</v>
      </c>
      <c r="AB47">
        <f t="shared" si="16"/>
        <v>315.4799883295762</v>
      </c>
      <c r="AC47">
        <f t="shared" si="17"/>
        <v>1.4784273680609576E-2</v>
      </c>
      <c r="AD47">
        <f t="shared" si="18"/>
        <v>4.1506402232706439</v>
      </c>
      <c r="AE47">
        <f t="shared" si="19"/>
        <v>70.532845801871431</v>
      </c>
      <c r="AF47">
        <f t="shared" si="20"/>
        <v>54.191958187088744</v>
      </c>
      <c r="AG47">
        <f t="shared" si="21"/>
        <v>1.9207755643327682</v>
      </c>
    </row>
    <row r="48" spans="2:33">
      <c r="B48" s="22">
        <v>200</v>
      </c>
      <c r="C48" s="23">
        <f t="shared" si="0"/>
        <v>5.2526880456565629E-3</v>
      </c>
      <c r="D48" s="23">
        <f t="shared" si="1"/>
        <v>1.5715140053128296</v>
      </c>
      <c r="E48" s="23">
        <f t="shared" si="2"/>
        <v>29.658415394580842</v>
      </c>
      <c r="F48" s="23">
        <f t="shared" si="3"/>
        <v>25.430587563389199</v>
      </c>
      <c r="G48" s="23">
        <v>5.2526880456565637E-3</v>
      </c>
      <c r="H48" s="23">
        <v>1.57151400531283</v>
      </c>
      <c r="I48" s="23">
        <v>29.658415394580839</v>
      </c>
      <c r="J48" s="23">
        <v>25.430587563389182</v>
      </c>
      <c r="K48" s="29">
        <f t="shared" si="4"/>
        <v>1.6512721304773145E-14</v>
      </c>
      <c r="L48" s="29">
        <f t="shared" si="5"/>
        <v>2.8258686104528924E-14</v>
      </c>
      <c r="M48" s="29">
        <f t="shared" si="6"/>
        <v>1.197877105548144E-14</v>
      </c>
      <c r="N48" s="29">
        <f t="shared" si="7"/>
        <v>6.9851191403755048E-14</v>
      </c>
      <c r="T48">
        <f t="shared" si="8"/>
        <v>0.11068984245736958</v>
      </c>
      <c r="U48">
        <f t="shared" si="9"/>
        <v>0.20764687668250617</v>
      </c>
      <c r="V48">
        <f t="shared" si="10"/>
        <v>0.5478423860342817</v>
      </c>
      <c r="W48">
        <f t="shared" si="11"/>
        <v>0.68604071926981247</v>
      </c>
      <c r="X48">
        <f t="shared" si="12"/>
        <v>2</v>
      </c>
      <c r="Y48">
        <f t="shared" si="13"/>
        <v>1.1068984245736959E-2</v>
      </c>
      <c r="Z48">
        <f t="shared" si="14"/>
        <v>3.3468457136685807</v>
      </c>
      <c r="AA48">
        <f t="shared" si="15"/>
        <v>67.755486695413822</v>
      </c>
      <c r="AB48">
        <f t="shared" si="16"/>
        <v>283.46696116096786</v>
      </c>
      <c r="AC48">
        <f t="shared" si="17"/>
        <v>1.1068984245736959E-2</v>
      </c>
      <c r="AD48">
        <f t="shared" si="18"/>
        <v>3.3116498858420957</v>
      </c>
      <c r="AE48">
        <f t="shared" si="19"/>
        <v>62.499148988601931</v>
      </c>
      <c r="AF48">
        <f t="shared" si="20"/>
        <v>53.58985164400795</v>
      </c>
      <c r="AG48">
        <f t="shared" si="21"/>
        <v>1.8981644310062331</v>
      </c>
    </row>
    <row r="49" spans="2:33">
      <c r="B49" s="22">
        <v>220</v>
      </c>
      <c r="C49" s="23">
        <f t="shared" si="0"/>
        <v>3.8838712370337296E-3</v>
      </c>
      <c r="D49" s="23">
        <f t="shared" si="1"/>
        <v>1.2382391409963469</v>
      </c>
      <c r="E49" s="23">
        <f t="shared" si="2"/>
        <v>25.932003815047413</v>
      </c>
      <c r="F49" s="23">
        <f t="shared" si="3"/>
        <v>24.597759538768589</v>
      </c>
      <c r="G49" s="23">
        <v>3.8838712370337291E-3</v>
      </c>
      <c r="H49" s="23">
        <v>1.2382391409963469</v>
      </c>
      <c r="I49" s="23">
        <v>25.932003815047409</v>
      </c>
      <c r="J49" s="23">
        <v>24.597759538768589</v>
      </c>
      <c r="K49" s="29">
        <f t="shared" si="4"/>
        <v>1.1166201002209887E-14</v>
      </c>
      <c r="L49" s="29">
        <f t="shared" si="5"/>
        <v>0</v>
      </c>
      <c r="M49" s="29">
        <f t="shared" si="6"/>
        <v>1.3700112433035309E-14</v>
      </c>
      <c r="N49" s="29">
        <f t="shared" si="7"/>
        <v>0</v>
      </c>
      <c r="T49">
        <f t="shared" si="8"/>
        <v>8.2873473707553727E-2</v>
      </c>
      <c r="U49">
        <f t="shared" si="9"/>
        <v>0.16555980228988287</v>
      </c>
      <c r="V49">
        <f t="shared" si="10"/>
        <v>0.48130107194286964</v>
      </c>
      <c r="W49">
        <f t="shared" si="11"/>
        <v>0.61642336053928759</v>
      </c>
      <c r="X49">
        <f t="shared" si="12"/>
        <v>2</v>
      </c>
      <c r="Y49">
        <f t="shared" si="13"/>
        <v>8.287347370755373E-3</v>
      </c>
      <c r="Z49">
        <f t="shared" si="14"/>
        <v>2.6684875953946592</v>
      </c>
      <c r="AA49">
        <f t="shared" si="15"/>
        <v>59.525858545879046</v>
      </c>
      <c r="AB49">
        <f t="shared" si="16"/>
        <v>254.70158241727026</v>
      </c>
      <c r="AC49">
        <f t="shared" si="17"/>
        <v>8.287347370755373E-3</v>
      </c>
      <c r="AD49">
        <f t="shared" si="18"/>
        <v>2.6421364827068157</v>
      </c>
      <c r="AE49">
        <f t="shared" si="19"/>
        <v>55.333328660809336</v>
      </c>
      <c r="AF49">
        <f t="shared" si="20"/>
        <v>52.486337831265345</v>
      </c>
      <c r="AG49">
        <f t="shared" si="21"/>
        <v>1.8746028437225859</v>
      </c>
    </row>
    <row r="50" spans="2:33">
      <c r="B50" s="22">
        <v>240</v>
      </c>
      <c r="C50" s="23">
        <f t="shared" si="0"/>
        <v>2.8705094249468041E-3</v>
      </c>
      <c r="D50" s="23">
        <f t="shared" si="1"/>
        <v>0.97517907587485231</v>
      </c>
      <c r="E50" s="23">
        <f t="shared" si="2"/>
        <v>22.6466265571073</v>
      </c>
      <c r="F50" s="23">
        <f t="shared" si="3"/>
        <v>23.591308261720883</v>
      </c>
      <c r="G50" s="23">
        <v>2.8705094249468028E-3</v>
      </c>
      <c r="H50" s="23">
        <v>0.9751790758748522</v>
      </c>
      <c r="I50" s="23">
        <v>22.64662655710729</v>
      </c>
      <c r="J50" s="23">
        <v>23.59130826172089</v>
      </c>
      <c r="K50" s="29">
        <f t="shared" si="4"/>
        <v>4.532444992779345E-14</v>
      </c>
      <c r="L50" s="29">
        <f t="shared" si="5"/>
        <v>1.1384811796019657E-14</v>
      </c>
      <c r="M50" s="29">
        <f t="shared" si="6"/>
        <v>4.706281975165353E-14</v>
      </c>
      <c r="N50" s="29">
        <f t="shared" si="7"/>
        <v>3.0118835626976333E-14</v>
      </c>
      <c r="T50">
        <f t="shared" si="8"/>
        <v>6.2047360612081E-2</v>
      </c>
      <c r="U50">
        <f t="shared" si="9"/>
        <v>0.13200316510356142</v>
      </c>
      <c r="V50">
        <f t="shared" si="10"/>
        <v>0.42284066497037881</v>
      </c>
      <c r="W50">
        <f t="shared" si="11"/>
        <v>0.55386736808095283</v>
      </c>
      <c r="X50">
        <f t="shared" si="12"/>
        <v>2</v>
      </c>
      <c r="Y50">
        <f t="shared" si="13"/>
        <v>6.2047360612081E-3</v>
      </c>
      <c r="Z50">
        <f t="shared" si="14"/>
        <v>2.1276227910379197</v>
      </c>
      <c r="AA50">
        <f t="shared" si="15"/>
        <v>52.2956525088726</v>
      </c>
      <c r="AB50">
        <f t="shared" si="16"/>
        <v>228.85390809343971</v>
      </c>
      <c r="AC50">
        <f t="shared" si="17"/>
        <v>6.2047360612081E-3</v>
      </c>
      <c r="AD50">
        <f t="shared" si="18"/>
        <v>2.1078937158788174</v>
      </c>
      <c r="AE50">
        <f t="shared" si="19"/>
        <v>48.951708446733541</v>
      </c>
      <c r="AF50">
        <f t="shared" si="20"/>
        <v>50.993680714108365</v>
      </c>
      <c r="AG50">
        <f t="shared" si="21"/>
        <v>1.8505279816127413</v>
      </c>
    </row>
    <row r="51" spans="2:33">
      <c r="B51" s="22">
        <v>260</v>
      </c>
      <c r="C51" s="23">
        <f t="shared" si="0"/>
        <v>2.1209759182335966E-3</v>
      </c>
      <c r="D51" s="23">
        <f t="shared" si="1"/>
        <v>0.76776886075292072</v>
      </c>
      <c r="E51" s="23">
        <f t="shared" si="2"/>
        <v>19.758563349057624</v>
      </c>
      <c r="F51" s="23">
        <f t="shared" si="3"/>
        <v>22.466068643683936</v>
      </c>
      <c r="G51" s="23">
        <v>2.1209759182335961E-3</v>
      </c>
      <c r="H51" s="23">
        <v>0.76776886075292061</v>
      </c>
      <c r="I51" s="23">
        <v>19.758563349057621</v>
      </c>
      <c r="J51" s="23">
        <v>22.466068643683929</v>
      </c>
      <c r="K51" s="29">
        <f t="shared" si="4"/>
        <v>2.044723210980078E-14</v>
      </c>
      <c r="L51" s="29">
        <f t="shared" si="5"/>
        <v>1.4460380999776478E-14</v>
      </c>
      <c r="M51" s="29">
        <f t="shared" si="6"/>
        <v>1.798062751849793E-14</v>
      </c>
      <c r="N51" s="29">
        <f t="shared" si="7"/>
        <v>3.1627373130094169E-14</v>
      </c>
      <c r="T51">
        <f t="shared" si="8"/>
        <v>4.6454851010703589E-2</v>
      </c>
      <c r="U51">
        <f t="shared" si="9"/>
        <v>0.10524796133962339</v>
      </c>
      <c r="V51">
        <f t="shared" si="10"/>
        <v>0.37147913893957724</v>
      </c>
      <c r="W51">
        <f t="shared" si="11"/>
        <v>0.49765480538988899</v>
      </c>
      <c r="X51">
        <f t="shared" si="12"/>
        <v>2</v>
      </c>
      <c r="Y51">
        <f t="shared" si="13"/>
        <v>4.6454851010703591E-3</v>
      </c>
      <c r="Z51">
        <f t="shared" si="14"/>
        <v>1.696383272937287</v>
      </c>
      <c r="AA51">
        <f t="shared" si="15"/>
        <v>45.943414561700763</v>
      </c>
      <c r="AB51">
        <f t="shared" si="16"/>
        <v>205.62729212512511</v>
      </c>
      <c r="AC51">
        <f t="shared" si="17"/>
        <v>4.6454851010703591E-3</v>
      </c>
      <c r="AD51">
        <f t="shared" si="18"/>
        <v>1.6816121168711156</v>
      </c>
      <c r="AE51">
        <f t="shared" si="19"/>
        <v>43.276357297373544</v>
      </c>
      <c r="AF51">
        <f t="shared" si="20"/>
        <v>49.206493231085915</v>
      </c>
      <c r="AG51">
        <f t="shared" si="21"/>
        <v>1.8262686217591404</v>
      </c>
    </row>
    <row r="52" spans="2:33">
      <c r="B52" s="22">
        <v>280</v>
      </c>
      <c r="C52" s="23">
        <f t="shared" si="0"/>
        <v>1.5669311736100932E-3</v>
      </c>
      <c r="D52" s="23">
        <f t="shared" si="1"/>
        <v>0.6043640649891322</v>
      </c>
      <c r="E52" s="23">
        <f t="shared" si="2"/>
        <v>17.225636954101141</v>
      </c>
      <c r="F52" s="23">
        <f t="shared" si="3"/>
        <v>21.26618579723155</v>
      </c>
      <c r="G52" s="23">
        <v>1.566931173610093E-3</v>
      </c>
      <c r="H52" s="23">
        <v>0.60436406498913209</v>
      </c>
      <c r="I52" s="23">
        <v>17.22563695410113</v>
      </c>
      <c r="J52" s="23">
        <v>21.266185797231572</v>
      </c>
      <c r="K52" s="29">
        <f t="shared" si="4"/>
        <v>1.3838542378189887E-14</v>
      </c>
      <c r="L52" s="29">
        <f t="shared" si="5"/>
        <v>1.837010320335841E-14</v>
      </c>
      <c r="M52" s="29">
        <f t="shared" si="6"/>
        <v>6.1873712216278782E-14</v>
      </c>
      <c r="N52" s="29">
        <f t="shared" si="7"/>
        <v>1.0023556775083736E-13</v>
      </c>
      <c r="T52">
        <f t="shared" si="8"/>
        <v>3.4780739495968972E-2</v>
      </c>
      <c r="U52">
        <f t="shared" si="9"/>
        <v>8.3915629073418249E-2</v>
      </c>
      <c r="V52">
        <f t="shared" si="10"/>
        <v>0.32635351914209915</v>
      </c>
      <c r="W52">
        <f t="shared" si="11"/>
        <v>0.44713999981274455</v>
      </c>
      <c r="X52">
        <f t="shared" si="12"/>
        <v>2</v>
      </c>
      <c r="Y52">
        <f t="shared" si="13"/>
        <v>3.4780739495968976E-3</v>
      </c>
      <c r="Z52">
        <f t="shared" si="14"/>
        <v>1.3525494241052252</v>
      </c>
      <c r="AA52">
        <f t="shared" si="15"/>
        <v>40.362414606689974</v>
      </c>
      <c r="AB52">
        <f t="shared" si="16"/>
        <v>184.75494733802418</v>
      </c>
      <c r="AC52">
        <f t="shared" si="17"/>
        <v>3.4780739495968976E-3</v>
      </c>
      <c r="AD52">
        <f t="shared" si="18"/>
        <v>1.3414902619291709</v>
      </c>
      <c r="AE52">
        <f t="shared" si="19"/>
        <v>38.235271698143528</v>
      </c>
      <c r="AF52">
        <f t="shared" si="20"/>
        <v>47.203966628749789</v>
      </c>
      <c r="AG52">
        <f t="shared" si="21"/>
        <v>1.8020676918519203</v>
      </c>
    </row>
    <row r="53" spans="2:33">
      <c r="B53" s="22">
        <v>300</v>
      </c>
      <c r="C53" s="23">
        <f t="shared" si="0"/>
        <v>1.1575590525865159E-3</v>
      </c>
      <c r="D53" s="23">
        <f t="shared" si="1"/>
        <v>0.47569789150547154</v>
      </c>
      <c r="E53" s="23">
        <f t="shared" si="2"/>
        <v>15.008226886989432</v>
      </c>
      <c r="F53" s="23">
        <f t="shared" si="3"/>
        <v>20.026700666088441</v>
      </c>
      <c r="G53" s="23">
        <v>1.1575590525865159E-3</v>
      </c>
      <c r="H53" s="23">
        <v>0.47569789150547143</v>
      </c>
      <c r="I53" s="23">
        <v>15.00822688698943</v>
      </c>
      <c r="J53" s="23">
        <v>20.026700666088441</v>
      </c>
      <c r="K53" s="29">
        <f t="shared" si="4"/>
        <v>0</v>
      </c>
      <c r="L53" s="29">
        <f t="shared" si="5"/>
        <v>2.3338825848303911E-14</v>
      </c>
      <c r="M53" s="29">
        <f t="shared" si="6"/>
        <v>1.1835887428781923E-14</v>
      </c>
      <c r="N53" s="29">
        <f t="shared" si="7"/>
        <v>0</v>
      </c>
      <c r="T53">
        <f t="shared" si="8"/>
        <v>2.6040331771602011E-2</v>
      </c>
      <c r="U53">
        <f t="shared" si="9"/>
        <v>6.6907017942872002E-2</v>
      </c>
      <c r="V53">
        <f t="shared" si="10"/>
        <v>0.2867053576486398</v>
      </c>
      <c r="W53">
        <f t="shared" si="11"/>
        <v>0.40174203974389516</v>
      </c>
      <c r="X53">
        <f t="shared" si="12"/>
        <v>2</v>
      </c>
      <c r="Y53">
        <f t="shared" si="13"/>
        <v>2.6040331771602014E-3</v>
      </c>
      <c r="Z53">
        <f t="shared" si="14"/>
        <v>1.0784051741786369</v>
      </c>
      <c r="AA53">
        <f t="shared" si="15"/>
        <v>35.45885010155218</v>
      </c>
      <c r="AB53">
        <f t="shared" si="16"/>
        <v>165.99684534471882</v>
      </c>
      <c r="AC53">
        <f t="shared" si="17"/>
        <v>2.6040331771602014E-3</v>
      </c>
      <c r="AD53">
        <f t="shared" si="18"/>
        <v>1.0701251819658841</v>
      </c>
      <c r="AE53">
        <f t="shared" si="19"/>
        <v>33.76235593056041</v>
      </c>
      <c r="AF53">
        <f t="shared" si="20"/>
        <v>45.051863960653449</v>
      </c>
      <c r="AG53">
        <f t="shared" si="21"/>
        <v>1.778101850221246</v>
      </c>
    </row>
    <row r="54" spans="2:33">
      <c r="B54" s="22">
        <v>320</v>
      </c>
      <c r="C54" s="23">
        <f t="shared" si="0"/>
        <v>8.5515897898160071E-4</v>
      </c>
      <c r="D54" s="23">
        <f t="shared" si="1"/>
        <v>0.37442111413592061</v>
      </c>
      <c r="E54" s="23">
        <f t="shared" si="2"/>
        <v>13.069803778712926</v>
      </c>
      <c r="F54" s="23">
        <f t="shared" si="3"/>
        <v>18.775004315770904</v>
      </c>
      <c r="G54" s="23">
        <v>8.5515897898160061E-4</v>
      </c>
      <c r="H54" s="23">
        <v>0.3744211141359205</v>
      </c>
      <c r="I54" s="23">
        <v>13.06980377871292</v>
      </c>
      <c r="J54" s="23">
        <v>18.7750043157709</v>
      </c>
      <c r="K54" s="29">
        <f t="shared" si="4"/>
        <v>1.2678369743327361E-14</v>
      </c>
      <c r="L54" s="29">
        <f t="shared" si="5"/>
        <v>2.9651720555003978E-14</v>
      </c>
      <c r="M54" s="29">
        <f t="shared" si="6"/>
        <v>4.0773913736029662E-14</v>
      </c>
      <c r="N54" s="29">
        <f t="shared" si="7"/>
        <v>1.8922571835662594E-14</v>
      </c>
      <c r="T54">
        <f t="shared" si="8"/>
        <v>1.9496387144890211E-2</v>
      </c>
      <c r="U54">
        <f t="shared" si="9"/>
        <v>5.3345755598959252E-2</v>
      </c>
      <c r="V54">
        <f t="shared" si="10"/>
        <v>0.25186796602104933</v>
      </c>
      <c r="W54">
        <f t="shared" si="11"/>
        <v>0.36093801567987088</v>
      </c>
      <c r="X54">
        <f t="shared" si="12"/>
        <v>2</v>
      </c>
      <c r="Y54">
        <f t="shared" si="13"/>
        <v>1.9496387144890212E-3</v>
      </c>
      <c r="Z54">
        <f t="shared" si="14"/>
        <v>0.85982518167984612</v>
      </c>
      <c r="AA54">
        <f t="shared" si="15"/>
        <v>31.15026703989323</v>
      </c>
      <c r="AB54">
        <f t="shared" si="16"/>
        <v>149.13692379825599</v>
      </c>
      <c r="AC54">
        <f t="shared" si="17"/>
        <v>1.9496387144890212E-3</v>
      </c>
      <c r="AD54">
        <f t="shared" si="18"/>
        <v>0.85362595445215972</v>
      </c>
      <c r="AE54">
        <f t="shared" si="19"/>
        <v>29.797261169027458</v>
      </c>
      <c r="AF54">
        <f t="shared" si="20"/>
        <v>42.804292743692251</v>
      </c>
      <c r="AG54">
        <f t="shared" si="21"/>
        <v>1.7544973284052343</v>
      </c>
    </row>
    <row r="55" spans="2:33">
      <c r="B55" s="22">
        <v>340</v>
      </c>
      <c r="C55" s="23">
        <f t="shared" si="0"/>
        <v>6.3180720853828881E-4</v>
      </c>
      <c r="D55" s="23">
        <f t="shared" si="1"/>
        <v>0.29472020017615652</v>
      </c>
      <c r="E55" s="23">
        <f t="shared" si="2"/>
        <v>11.377139360945838</v>
      </c>
      <c r="F55" s="23">
        <f t="shared" si="3"/>
        <v>17.532124175656264</v>
      </c>
      <c r="G55" s="23">
        <v>6.3180720853828881E-4</v>
      </c>
      <c r="H55" s="23">
        <v>0.29472020017615652</v>
      </c>
      <c r="I55" s="23">
        <v>11.37713936094584</v>
      </c>
      <c r="J55" s="23">
        <v>17.532124175656261</v>
      </c>
      <c r="K55" s="29">
        <f t="shared" si="4"/>
        <v>0</v>
      </c>
      <c r="L55" s="29">
        <f t="shared" si="5"/>
        <v>0</v>
      </c>
      <c r="M55" s="29">
        <f t="shared" si="6"/>
        <v>1.5613387364295876E-14</v>
      </c>
      <c r="N55" s="29">
        <f t="shared" si="7"/>
        <v>2.0264023019717839E-14</v>
      </c>
      <c r="T55">
        <f t="shared" si="8"/>
        <v>1.4596933377490283E-2</v>
      </c>
      <c r="U55">
        <f t="shared" si="9"/>
        <v>4.2533092941199814E-2</v>
      </c>
      <c r="V55">
        <f t="shared" si="10"/>
        <v>0.22125519671930141</v>
      </c>
      <c r="W55">
        <f t="shared" si="11"/>
        <v>0.32425694212971312</v>
      </c>
      <c r="X55">
        <f t="shared" si="12"/>
        <v>2</v>
      </c>
      <c r="Y55">
        <f t="shared" si="13"/>
        <v>1.4596933377490284E-3</v>
      </c>
      <c r="Z55">
        <f t="shared" si="14"/>
        <v>0.68554703096728453</v>
      </c>
      <c r="AA55">
        <f t="shared" si="15"/>
        <v>27.364172469611916</v>
      </c>
      <c r="AB55">
        <f t="shared" si="16"/>
        <v>133.9805749703728</v>
      </c>
      <c r="AC55">
        <f t="shared" si="17"/>
        <v>1.4596933377490284E-3</v>
      </c>
      <c r="AD55">
        <f t="shared" si="18"/>
        <v>0.68090567325511075</v>
      </c>
      <c r="AE55">
        <f t="shared" si="19"/>
        <v>26.285129867758467</v>
      </c>
      <c r="AF55">
        <f t="shared" si="20"/>
        <v>40.505275200960646</v>
      </c>
      <c r="AG55">
        <f t="shared" si="21"/>
        <v>1.7313423092348683</v>
      </c>
    </row>
    <row r="56" spans="2:33">
      <c r="B56" s="22">
        <v>360</v>
      </c>
      <c r="C56" s="23">
        <f t="shared" si="0"/>
        <v>4.6684613513080811E-4</v>
      </c>
      <c r="D56" s="23">
        <f t="shared" si="1"/>
        <v>0.23200507683234903</v>
      </c>
      <c r="E56" s="23">
        <f t="shared" si="2"/>
        <v>9.9003070137533236</v>
      </c>
      <c r="F56" s="23">
        <f t="shared" si="3"/>
        <v>16.3138375909971</v>
      </c>
      <c r="G56" s="23">
        <v>4.6684613513080811E-4</v>
      </c>
      <c r="H56" s="23">
        <v>0.232005076832349</v>
      </c>
      <c r="I56" s="23">
        <v>9.9003070137533236</v>
      </c>
      <c r="J56" s="23">
        <v>16.3138375909971</v>
      </c>
      <c r="K56" s="29">
        <f t="shared" si="4"/>
        <v>0</v>
      </c>
      <c r="L56" s="29">
        <f t="shared" si="5"/>
        <v>1.1963348386417245E-14</v>
      </c>
      <c r="M56" s="29">
        <f t="shared" si="6"/>
        <v>0</v>
      </c>
      <c r="N56" s="29">
        <f t="shared" si="7"/>
        <v>0</v>
      </c>
      <c r="T56">
        <f t="shared" si="8"/>
        <v>1.0928708672320349E-2</v>
      </c>
      <c r="U56">
        <f t="shared" si="9"/>
        <v>3.3911901633636027E-2</v>
      </c>
      <c r="V56">
        <f t="shared" si="10"/>
        <v>0.19435159232908022</v>
      </c>
      <c r="W56">
        <f t="shared" si="11"/>
        <v>0.29127431026602391</v>
      </c>
      <c r="X56">
        <f t="shared" si="12"/>
        <v>2</v>
      </c>
      <c r="Y56">
        <f t="shared" si="13"/>
        <v>1.092870867232035E-3</v>
      </c>
      <c r="Z56">
        <f t="shared" si="14"/>
        <v>0.54659094535009323</v>
      </c>
      <c r="AA56">
        <f t="shared" si="15"/>
        <v>24.036816179209367</v>
      </c>
      <c r="AB56">
        <f t="shared" si="16"/>
        <v>120.35239494711992</v>
      </c>
      <c r="AC56">
        <f t="shared" si="17"/>
        <v>1.092870867232035E-3</v>
      </c>
      <c r="AD56">
        <f t="shared" si="18"/>
        <v>0.54311596571097287</v>
      </c>
      <c r="AE56">
        <f t="shared" si="19"/>
        <v>23.176280786714337</v>
      </c>
      <c r="AF56">
        <f t="shared" si="20"/>
        <v>38.190136951567553</v>
      </c>
      <c r="AG56">
        <f t="shared" si="21"/>
        <v>1.7086964219778722</v>
      </c>
    </row>
    <row r="57" spans="2:33">
      <c r="B57" s="22">
        <v>380</v>
      </c>
      <c r="C57" s="23">
        <f t="shared" si="0"/>
        <v>3.4500641737383788E-4</v>
      </c>
      <c r="D57" s="23">
        <f t="shared" si="1"/>
        <v>0.18265662239366284</v>
      </c>
      <c r="E57" s="23">
        <f t="shared" si="2"/>
        <v>8.612554023978408</v>
      </c>
      <c r="F57" s="23">
        <f t="shared" si="3"/>
        <v>15.131624123040673</v>
      </c>
      <c r="G57" s="23">
        <v>3.4500641737383783E-4</v>
      </c>
      <c r="H57" s="23">
        <v>0.18265662239366279</v>
      </c>
      <c r="I57" s="23">
        <v>8.6125540239784062</v>
      </c>
      <c r="J57" s="23">
        <v>15.13162412304067</v>
      </c>
      <c r="K57" s="29">
        <f t="shared" si="4"/>
        <v>1.5712782688773844E-14</v>
      </c>
      <c r="L57" s="29">
        <f t="shared" si="5"/>
        <v>3.0390987473544659E-14</v>
      </c>
      <c r="M57" s="29">
        <f t="shared" si="6"/>
        <v>2.0625204027221834E-14</v>
      </c>
      <c r="N57" s="29">
        <f t="shared" si="7"/>
        <v>2.3478733346216573E-14</v>
      </c>
      <c r="T57">
        <f t="shared" si="8"/>
        <v>8.1823037002726751E-3</v>
      </c>
      <c r="U57">
        <f t="shared" si="9"/>
        <v>2.7037968974775041E-2</v>
      </c>
      <c r="V57">
        <f t="shared" si="10"/>
        <v>0.17070374620829626</v>
      </c>
      <c r="W57">
        <f t="shared" si="11"/>
        <v>0.26160723282148779</v>
      </c>
      <c r="X57">
        <f t="shared" si="12"/>
        <v>2</v>
      </c>
      <c r="Y57">
        <f t="shared" si="13"/>
        <v>8.1823037002726759E-4</v>
      </c>
      <c r="Z57">
        <f t="shared" si="14"/>
        <v>0.43579711872041693</v>
      </c>
      <c r="AA57">
        <f t="shared" si="15"/>
        <v>21.112122208721829</v>
      </c>
      <c r="AB57">
        <f t="shared" si="16"/>
        <v>108.09417753594272</v>
      </c>
      <c r="AC57">
        <f t="shared" si="17"/>
        <v>8.1823037002726759E-4</v>
      </c>
      <c r="AD57">
        <f t="shared" si="18"/>
        <v>0.43319540797744865</v>
      </c>
      <c r="AE57">
        <f t="shared" si="19"/>
        <v>20.425861407336445</v>
      </c>
      <c r="AF57">
        <f t="shared" si="20"/>
        <v>35.886736541173597</v>
      </c>
      <c r="AG57">
        <f t="shared" si="21"/>
        <v>1.6865979558414119</v>
      </c>
    </row>
    <row r="58" spans="2:33">
      <c r="B58" s="22">
        <v>400</v>
      </c>
      <c r="C58" s="23">
        <f t="shared" si="0"/>
        <v>2.5500800664613469E-4</v>
      </c>
      <c r="D58" s="23">
        <f t="shared" si="1"/>
        <v>0.14382408178471454</v>
      </c>
      <c r="E58" s="23">
        <f t="shared" si="2"/>
        <v>7.490101099829781</v>
      </c>
      <c r="F58" s="23">
        <f t="shared" si="3"/>
        <v>13.993475125297998</v>
      </c>
      <c r="G58" s="23">
        <v>2.5500800664613469E-4</v>
      </c>
      <c r="H58" s="23">
        <v>0.14382408178471451</v>
      </c>
      <c r="I58" s="23">
        <v>7.490101099829781</v>
      </c>
      <c r="J58" s="23">
        <v>13.993475125298</v>
      </c>
      <c r="K58" s="29">
        <f t="shared" si="4"/>
        <v>0</v>
      </c>
      <c r="L58" s="29">
        <f t="shared" si="5"/>
        <v>1.9298281116214816E-14</v>
      </c>
      <c r="M58" s="29">
        <f t="shared" si="6"/>
        <v>0</v>
      </c>
      <c r="N58" s="29">
        <f t="shared" si="7"/>
        <v>1.269417941929862E-14</v>
      </c>
      <c r="T58">
        <f t="shared" si="8"/>
        <v>6.1260634511727937E-3</v>
      </c>
      <c r="U58">
        <f t="shared" si="9"/>
        <v>2.1557111186567633E-2</v>
      </c>
      <c r="V58">
        <f t="shared" si="10"/>
        <v>0.14991273925045551</v>
      </c>
      <c r="W58">
        <f t="shared" si="11"/>
        <v>0.23491015211395375</v>
      </c>
      <c r="X58">
        <f t="shared" si="12"/>
        <v>2</v>
      </c>
      <c r="Y58">
        <f t="shared" si="13"/>
        <v>6.126063451172794E-4</v>
      </c>
      <c r="Z58">
        <f t="shared" si="14"/>
        <v>0.34745682827753915</v>
      </c>
      <c r="AA58">
        <f t="shared" si="15"/>
        <v>18.540753451525877</v>
      </c>
      <c r="AB58">
        <f t="shared" si="16"/>
        <v>97.063140853326416</v>
      </c>
      <c r="AC58">
        <f t="shared" si="17"/>
        <v>6.126063451172794E-4</v>
      </c>
      <c r="AD58">
        <f t="shared" si="18"/>
        <v>0.34550893613409667</v>
      </c>
      <c r="AE58">
        <f t="shared" si="19"/>
        <v>17.993487811121586</v>
      </c>
      <c r="AF58">
        <f t="shared" si="20"/>
        <v>33.616558808265594</v>
      </c>
      <c r="AG58">
        <f t="shared" si="21"/>
        <v>1.6650693136213932</v>
      </c>
    </row>
    <row r="59" spans="2:33">
      <c r="B59" s="22">
        <v>420</v>
      </c>
      <c r="C59" s="23">
        <f t="shared" si="0"/>
        <v>1.88520993920063E-4</v>
      </c>
      <c r="D59" s="23">
        <f t="shared" si="1"/>
        <v>0.11326348271868213</v>
      </c>
      <c r="E59" s="23">
        <f t="shared" si="2"/>
        <v>6.5119062440805981</v>
      </c>
      <c r="F59" s="23">
        <f t="shared" si="3"/>
        <v>12.904581198492089</v>
      </c>
      <c r="G59" s="23">
        <v>1.88520993920063E-4</v>
      </c>
      <c r="H59" s="23">
        <v>0.1132634827186821</v>
      </c>
      <c r="I59" s="23">
        <v>6.5119062440805981</v>
      </c>
      <c r="J59" s="23">
        <v>12.904581198492091</v>
      </c>
      <c r="K59" s="29">
        <f t="shared" si="4"/>
        <v>0</v>
      </c>
      <c r="L59" s="29">
        <f t="shared" si="5"/>
        <v>2.45053171149317E-14</v>
      </c>
      <c r="M59" s="29">
        <f t="shared" si="6"/>
        <v>0</v>
      </c>
      <c r="N59" s="29">
        <f t="shared" si="7"/>
        <v>1.3765319556498424E-14</v>
      </c>
      <c r="T59">
        <f t="shared" si="8"/>
        <v>4.5865475704715986E-3</v>
      </c>
      <c r="U59">
        <f t="shared" si="9"/>
        <v>1.7186925960710021E-2</v>
      </c>
      <c r="V59">
        <f t="shared" si="10"/>
        <v>0.13162753507859179</v>
      </c>
      <c r="W59">
        <f t="shared" si="11"/>
        <v>0.21087108808555943</v>
      </c>
      <c r="X59">
        <f t="shared" si="12"/>
        <v>2</v>
      </c>
      <c r="Y59">
        <f t="shared" si="13"/>
        <v>4.586547570471599E-4</v>
      </c>
      <c r="Z59">
        <f t="shared" si="14"/>
        <v>0.2770183226530934</v>
      </c>
      <c r="AA59">
        <f t="shared" si="15"/>
        <v>16.279294791932294</v>
      </c>
      <c r="AB59">
        <f t="shared" si="16"/>
        <v>87.130377042257521</v>
      </c>
      <c r="AC59">
        <f t="shared" si="17"/>
        <v>4.586547570471599E-4</v>
      </c>
      <c r="AD59">
        <f t="shared" si="18"/>
        <v>0.27555994729520566</v>
      </c>
      <c r="AE59">
        <f t="shared" si="19"/>
        <v>15.842886854071558</v>
      </c>
      <c r="AF59">
        <f t="shared" si="20"/>
        <v>31.395694619026962</v>
      </c>
      <c r="AG59">
        <f t="shared" si="21"/>
        <v>1.6441211261714122</v>
      </c>
    </row>
    <row r="60" spans="2:33">
      <c r="B60" s="22">
        <v>440</v>
      </c>
      <c r="C60" s="23">
        <f t="shared" si="0"/>
        <v>1.3939538001459488E-4</v>
      </c>
      <c r="D60" s="23">
        <f t="shared" si="1"/>
        <v>8.9209306423275223E-2</v>
      </c>
      <c r="E60" s="23">
        <f t="shared" si="2"/>
        <v>5.6594171345852553</v>
      </c>
      <c r="F60" s="23">
        <f t="shared" si="3"/>
        <v>11.867917395383325</v>
      </c>
      <c r="G60" s="23">
        <v>1.3939538001459491E-4</v>
      </c>
      <c r="H60" s="23">
        <v>8.9209306423275223E-2</v>
      </c>
      <c r="I60" s="23">
        <v>5.6594171345852544</v>
      </c>
      <c r="J60" s="23">
        <v>11.86791739538333</v>
      </c>
      <c r="K60" s="29">
        <f t="shared" si="4"/>
        <v>1.944472930831687E-14</v>
      </c>
      <c r="L60" s="29">
        <f t="shared" si="5"/>
        <v>0</v>
      </c>
      <c r="M60" s="29">
        <f t="shared" si="6"/>
        <v>1.5693814373080571E-14</v>
      </c>
      <c r="N60" s="29">
        <f t="shared" si="7"/>
        <v>4.4903164899629164E-14</v>
      </c>
      <c r="T60">
        <f t="shared" si="8"/>
        <v>3.4339010396611915E-3</v>
      </c>
      <c r="U60">
        <f t="shared" si="9"/>
        <v>1.3702244097445212E-2</v>
      </c>
      <c r="V60">
        <f t="shared" si="10"/>
        <v>0.11553922998728312</v>
      </c>
      <c r="W60">
        <f t="shared" si="11"/>
        <v>0.18920840477134249</v>
      </c>
      <c r="X60">
        <f t="shared" si="12"/>
        <v>2</v>
      </c>
      <c r="Y60">
        <f t="shared" si="13"/>
        <v>3.4339010396611919E-4</v>
      </c>
      <c r="Z60">
        <f t="shared" si="14"/>
        <v>0.22085233189081083</v>
      </c>
      <c r="AA60">
        <f t="shared" si="15"/>
        <v>14.289541955433602</v>
      </c>
      <c r="AB60">
        <f t="shared" si="16"/>
        <v>78.179516200922492</v>
      </c>
      <c r="AC60">
        <f t="shared" si="17"/>
        <v>3.4339010396611919E-4</v>
      </c>
      <c r="AD60">
        <f t="shared" si="18"/>
        <v>0.21976046124503185</v>
      </c>
      <c r="AE60">
        <f t="shared" si="19"/>
        <v>13.941551276874398</v>
      </c>
      <c r="AF60">
        <f t="shared" si="20"/>
        <v>29.235727811318441</v>
      </c>
      <c r="AG60">
        <f t="shared" si="21"/>
        <v>1.6237553546778787</v>
      </c>
    </row>
    <row r="61" spans="2:33">
      <c r="B61" s="22">
        <v>460</v>
      </c>
      <c r="C61" s="23">
        <f t="shared" si="0"/>
        <v>1.0309105905227276E-4</v>
      </c>
      <c r="D61" s="23">
        <f t="shared" si="1"/>
        <v>7.0272890432658358E-2</v>
      </c>
      <c r="E61" s="23">
        <f t="shared" si="2"/>
        <v>4.916327173474019</v>
      </c>
      <c r="F61" s="23">
        <f t="shared" si="3"/>
        <v>10.884743736410138</v>
      </c>
      <c r="G61" s="23">
        <v>1.030910590522728E-4</v>
      </c>
      <c r="H61" s="23">
        <v>7.0272890432658358E-2</v>
      </c>
      <c r="I61" s="23">
        <v>4.9163271734740199</v>
      </c>
      <c r="J61" s="23">
        <v>10.88474373641014</v>
      </c>
      <c r="K61" s="29">
        <f t="shared" si="4"/>
        <v>3.9438513719789024E-14</v>
      </c>
      <c r="L61" s="29">
        <f t="shared" si="5"/>
        <v>0</v>
      </c>
      <c r="M61" s="29">
        <f t="shared" si="6"/>
        <v>1.8065893264636262E-14</v>
      </c>
      <c r="N61" s="29">
        <f t="shared" si="7"/>
        <v>1.6319693714590883E-14</v>
      </c>
      <c r="T61">
        <f t="shared" si="8"/>
        <v>2.5709012356618724E-3</v>
      </c>
      <c r="U61">
        <f t="shared" si="9"/>
        <v>1.0923530605523285E-2</v>
      </c>
      <c r="V61">
        <f t="shared" si="10"/>
        <v>0.10137606430146143</v>
      </c>
      <c r="W61">
        <f t="shared" si="11"/>
        <v>0.16966806987656063</v>
      </c>
      <c r="X61">
        <f t="shared" si="12"/>
        <v>2</v>
      </c>
      <c r="Y61">
        <f t="shared" si="13"/>
        <v>2.5709012356618725E-4</v>
      </c>
      <c r="Z61">
        <f t="shared" si="14"/>
        <v>0.17606511674684494</v>
      </c>
      <c r="AA61">
        <f t="shared" si="15"/>
        <v>12.537884528674031</v>
      </c>
      <c r="AB61">
        <f t="shared" si="16"/>
        <v>70.105594060284972</v>
      </c>
      <c r="AC61">
        <f t="shared" si="17"/>
        <v>2.5709012356618725E-4</v>
      </c>
      <c r="AD61">
        <f t="shared" si="18"/>
        <v>0.17524765242274401</v>
      </c>
      <c r="AE61">
        <f t="shared" si="19"/>
        <v>12.260414939372716</v>
      </c>
      <c r="AF61">
        <f t="shared" si="20"/>
        <v>27.144547140223334</v>
      </c>
      <c r="AG61">
        <f t="shared" si="21"/>
        <v>1.603967630063116</v>
      </c>
    </row>
    <row r="62" spans="2:33">
      <c r="B62" s="22">
        <v>480</v>
      </c>
      <c r="C62" s="23">
        <f t="shared" si="0"/>
        <v>7.6256438851489406E-5</v>
      </c>
      <c r="D62" s="23">
        <f t="shared" si="1"/>
        <v>5.5362181456994265E-2</v>
      </c>
      <c r="E62" s="23">
        <f t="shared" si="2"/>
        <v>4.2683441610212043</v>
      </c>
      <c r="F62" s="23">
        <f t="shared" si="3"/>
        <v>9.9550354184408878</v>
      </c>
      <c r="G62" s="23">
        <v>7.6256438851489406E-5</v>
      </c>
      <c r="H62" s="23">
        <v>5.5362181456994272E-2</v>
      </c>
      <c r="I62" s="23">
        <v>4.2683441610212043</v>
      </c>
      <c r="J62" s="23">
        <v>9.9550354184408842</v>
      </c>
      <c r="K62" s="29">
        <f t="shared" si="4"/>
        <v>0</v>
      </c>
      <c r="L62" s="29">
        <f t="shared" si="5"/>
        <v>1.2533635274645761E-14</v>
      </c>
      <c r="M62" s="29">
        <f t="shared" si="6"/>
        <v>0</v>
      </c>
      <c r="N62" s="29">
        <f t="shared" si="7"/>
        <v>3.5687604608813255E-14</v>
      </c>
      <c r="T62">
        <f t="shared" si="8"/>
        <v>1.9247574978421187E-3</v>
      </c>
      <c r="U62">
        <f t="shared" si="9"/>
        <v>8.7076375215081516E-3</v>
      </c>
      <c r="V62">
        <f t="shared" si="10"/>
        <v>8.8899108679238711E-2</v>
      </c>
      <c r="W62">
        <f t="shared" si="11"/>
        <v>0.15202137294131832</v>
      </c>
      <c r="X62">
        <f t="shared" si="12"/>
        <v>2</v>
      </c>
      <c r="Y62">
        <f t="shared" si="13"/>
        <v>1.9247574978421188E-4</v>
      </c>
      <c r="Z62">
        <f t="shared" si="14"/>
        <v>0.14034942292726771</v>
      </c>
      <c r="AA62">
        <f t="shared" si="15"/>
        <v>10.994772454450771</v>
      </c>
      <c r="AB62">
        <f t="shared" si="16"/>
        <v>62.814109146552944</v>
      </c>
      <c r="AC62">
        <f t="shared" si="17"/>
        <v>1.9247574978421188E-4</v>
      </c>
      <c r="AD62">
        <f t="shared" si="18"/>
        <v>0.13973741163519385</v>
      </c>
      <c r="AE62">
        <f t="shared" si="19"/>
        <v>10.773552438366625</v>
      </c>
      <c r="AF62">
        <f t="shared" si="20"/>
        <v>25.127096611794784</v>
      </c>
      <c r="AG62">
        <f t="shared" si="21"/>
        <v>1.5847490177226358</v>
      </c>
    </row>
    <row r="63" spans="2:33">
      <c r="B63" s="22">
        <v>500</v>
      </c>
      <c r="C63" s="23">
        <f t="shared" si="0"/>
        <v>5.6417180800325285E-5</v>
      </c>
      <c r="D63" s="23">
        <f t="shared" si="1"/>
        <v>4.3618459135205991E-2</v>
      </c>
      <c r="E63" s="23">
        <f t="shared" si="2"/>
        <v>3.7029762735893001</v>
      </c>
      <c r="F63" s="23">
        <f t="shared" si="3"/>
        <v>9.077853516643005</v>
      </c>
      <c r="G63" s="23">
        <v>5.6417180800325292E-5</v>
      </c>
      <c r="H63" s="23">
        <v>4.3618459135205991E-2</v>
      </c>
      <c r="I63" s="23">
        <v>3.702976273589301</v>
      </c>
      <c r="J63" s="23">
        <v>9.0778535166429979</v>
      </c>
      <c r="K63" s="29">
        <f t="shared" si="4"/>
        <v>1.2010992895971384E-14</v>
      </c>
      <c r="L63" s="29">
        <f t="shared" si="5"/>
        <v>0</v>
      </c>
      <c r="M63" s="29">
        <f t="shared" si="6"/>
        <v>2.3985528236701673E-14</v>
      </c>
      <c r="N63" s="29">
        <f t="shared" si="7"/>
        <v>7.8272108539471103E-14</v>
      </c>
      <c r="T63">
        <f t="shared" si="8"/>
        <v>1.4409714971892471E-3</v>
      </c>
      <c r="U63">
        <f t="shared" si="9"/>
        <v>6.9404317849578318E-3</v>
      </c>
      <c r="V63">
        <f t="shared" si="10"/>
        <v>7.7898542710201954E-2</v>
      </c>
      <c r="W63">
        <f t="shared" si="11"/>
        <v>0.13606305356137016</v>
      </c>
      <c r="X63">
        <f t="shared" si="12"/>
        <v>2</v>
      </c>
      <c r="Y63">
        <f t="shared" si="13"/>
        <v>1.4409714971892472E-4</v>
      </c>
      <c r="Z63">
        <f t="shared" si="14"/>
        <v>0.11186565741613322</v>
      </c>
      <c r="AA63">
        <f t="shared" si="15"/>
        <v>9.6342557800245405</v>
      </c>
      <c r="AB63">
        <f t="shared" si="16"/>
        <v>56.220249375831408</v>
      </c>
      <c r="AC63">
        <f t="shared" si="17"/>
        <v>1.4409714971892472E-4</v>
      </c>
      <c r="AD63">
        <f t="shared" si="18"/>
        <v>0.11140747459111494</v>
      </c>
      <c r="AE63">
        <f t="shared" si="19"/>
        <v>9.4579048249420286</v>
      </c>
      <c r="AF63">
        <f t="shared" si="20"/>
        <v>23.18607202199356</v>
      </c>
      <c r="AG63">
        <f t="shared" si="21"/>
        <v>1.5660873489967677</v>
      </c>
    </row>
    <row r="64" spans="2:33">
      <c r="B64" s="22">
        <v>520</v>
      </c>
      <c r="C64" s="23">
        <f t="shared" si="0"/>
        <v>4.1746401360305088E-5</v>
      </c>
      <c r="D64" s="23">
        <f t="shared" si="1"/>
        <v>3.4366502455658074E-2</v>
      </c>
      <c r="E64" s="23">
        <f t="shared" si="2"/>
        <v>3.2093370923643416</v>
      </c>
      <c r="F64" s="23">
        <f t="shared" si="3"/>
        <v>8.2516633607699816</v>
      </c>
      <c r="G64" s="23">
        <v>4.1746401360305081E-5</v>
      </c>
      <c r="H64" s="23">
        <v>3.4366502455658067E-2</v>
      </c>
      <c r="I64" s="23">
        <v>3.2093370923643412</v>
      </c>
      <c r="J64" s="23">
        <v>8.2516633607699799</v>
      </c>
      <c r="K64" s="29">
        <f t="shared" si="4"/>
        <v>1.623197055849147E-14</v>
      </c>
      <c r="L64" s="29">
        <f t="shared" si="5"/>
        <v>2.0190864382723403E-14</v>
      </c>
      <c r="M64" s="29">
        <f t="shared" si="6"/>
        <v>1.3837412433447401E-14</v>
      </c>
      <c r="N64" s="29">
        <f t="shared" si="7"/>
        <v>2.1527257738668765E-14</v>
      </c>
      <c r="T64">
        <f t="shared" si="8"/>
        <v>1.0787405238441041E-3</v>
      </c>
      <c r="U64">
        <f t="shared" si="9"/>
        <v>5.5309180229949299E-3</v>
      </c>
      <c r="V64">
        <f t="shared" si="10"/>
        <v>6.8190444761616301E-2</v>
      </c>
      <c r="W64">
        <f t="shared" si="11"/>
        <v>0.12160977397219504</v>
      </c>
      <c r="X64">
        <f t="shared" si="12"/>
        <v>2</v>
      </c>
      <c r="Y64">
        <f t="shared" si="13"/>
        <v>1.0787405238441041E-4</v>
      </c>
      <c r="Z64">
        <f t="shared" si="14"/>
        <v>8.9147159705255552E-2</v>
      </c>
      <c r="AA64">
        <f t="shared" si="15"/>
        <v>8.4335876350226879</v>
      </c>
      <c r="AB64">
        <f t="shared" si="16"/>
        <v>50.248260937136415</v>
      </c>
      <c r="AC64">
        <f t="shared" si="17"/>
        <v>1.0787405238441041E-4</v>
      </c>
      <c r="AD64">
        <f t="shared" si="18"/>
        <v>8.8804154738369889E-2</v>
      </c>
      <c r="AE64">
        <f t="shared" si="19"/>
        <v>8.2930309281732129</v>
      </c>
      <c r="AF64">
        <f t="shared" si="20"/>
        <v>21.322565218390739</v>
      </c>
      <c r="AG64">
        <f t="shared" si="21"/>
        <v>1.5479682254465166</v>
      </c>
    </row>
    <row r="65" spans="2:33">
      <c r="B65" s="22">
        <v>540</v>
      </c>
      <c r="C65" s="23">
        <f t="shared" si="0"/>
        <v>3.0895071169398711E-5</v>
      </c>
      <c r="D65" s="23">
        <f t="shared" si="1"/>
        <v>2.7075376343808504E-2</v>
      </c>
      <c r="E65" s="23">
        <f t="shared" si="2"/>
        <v>2.7779694557864207</v>
      </c>
      <c r="F65" s="23">
        <f t="shared" si="3"/>
        <v>7.4746044502586733</v>
      </c>
      <c r="G65" s="23">
        <v>3.0895071169398711E-5</v>
      </c>
      <c r="H65" s="23">
        <v>2.7075376343808501E-2</v>
      </c>
      <c r="I65" s="23">
        <v>2.7779694557864199</v>
      </c>
      <c r="J65" s="23">
        <v>7.4746044502586733</v>
      </c>
      <c r="K65" s="29">
        <f t="shared" si="4"/>
        <v>0</v>
      </c>
      <c r="L65" s="29">
        <f t="shared" si="5"/>
        <v>1.281403038649542E-14</v>
      </c>
      <c r="M65" s="29">
        <f t="shared" si="6"/>
        <v>3.1972216895692589E-14</v>
      </c>
      <c r="N65" s="29">
        <f t="shared" si="7"/>
        <v>0</v>
      </c>
      <c r="T65">
        <f t="shared" si="8"/>
        <v>8.0751594904531008E-4</v>
      </c>
      <c r="U65">
        <f t="shared" si="9"/>
        <v>4.4065530415103348E-3</v>
      </c>
      <c r="V65">
        <f t="shared" si="10"/>
        <v>5.9614012551348967E-2</v>
      </c>
      <c r="W65">
        <f t="shared" si="11"/>
        <v>0.10849885261690193</v>
      </c>
      <c r="X65">
        <f t="shared" si="12"/>
        <v>2</v>
      </c>
      <c r="Y65">
        <f t="shared" si="13"/>
        <v>8.0751594904531019E-5</v>
      </c>
      <c r="Z65">
        <f t="shared" si="14"/>
        <v>7.102468091336625E-2</v>
      </c>
      <c r="AA65">
        <f t="shared" si="15"/>
        <v>7.3728804803182992</v>
      </c>
      <c r="AB65">
        <f t="shared" si="16"/>
        <v>44.830925012002048</v>
      </c>
      <c r="AC65">
        <f t="shared" si="17"/>
        <v>8.0751594904531019E-5</v>
      </c>
      <c r="AD65">
        <f t="shared" si="18"/>
        <v>7.0767916682080212E-2</v>
      </c>
      <c r="AE65">
        <f t="shared" si="19"/>
        <v>7.2608819355307999</v>
      </c>
      <c r="AF65">
        <f t="shared" si="20"/>
        <v>19.536651245417421</v>
      </c>
      <c r="AG65">
        <f t="shared" si="21"/>
        <v>1.5303757755335763</v>
      </c>
    </row>
    <row r="66" spans="2:33">
      <c r="B66" s="22">
        <v>560</v>
      </c>
      <c r="C66" s="23">
        <f t="shared" si="0"/>
        <v>2.2866865182402112E-5</v>
      </c>
      <c r="D66" s="23">
        <f t="shared" si="1"/>
        <v>2.1327592124509527E-2</v>
      </c>
      <c r="E66" s="23">
        <f t="shared" si="2"/>
        <v>2.4006866483923357</v>
      </c>
      <c r="F66" s="23">
        <f t="shared" si="3"/>
        <v>6.7447130806524758</v>
      </c>
      <c r="G66" s="23">
        <v>2.2866865182402112E-5</v>
      </c>
      <c r="H66" s="23">
        <v>2.1327592124509531E-2</v>
      </c>
      <c r="I66" s="23">
        <v>2.4006866483923348</v>
      </c>
      <c r="J66" s="23">
        <v>6.7447130806524731</v>
      </c>
      <c r="K66" s="29">
        <f t="shared" si="4"/>
        <v>0</v>
      </c>
      <c r="L66" s="29">
        <f t="shared" si="5"/>
        <v>1.6267410459179536E-14</v>
      </c>
      <c r="M66" s="29">
        <f t="shared" si="6"/>
        <v>3.699684922623745E-14</v>
      </c>
      <c r="N66" s="29">
        <f t="shared" si="7"/>
        <v>3.950553903832797E-14</v>
      </c>
      <c r="T66">
        <f t="shared" si="8"/>
        <v>6.0442655334049791E-4</v>
      </c>
      <c r="U66">
        <f t="shared" si="9"/>
        <v>3.5095101721625676E-3</v>
      </c>
      <c r="V66">
        <f t="shared" si="10"/>
        <v>5.2029134764034056E-2</v>
      </c>
      <c r="W66">
        <f t="shared" si="11"/>
        <v>9.6587160448796727E-2</v>
      </c>
      <c r="X66">
        <f t="shared" si="12"/>
        <v>2</v>
      </c>
      <c r="Y66">
        <f t="shared" si="13"/>
        <v>6.0442655334049791E-5</v>
      </c>
      <c r="Z66">
        <f t="shared" si="14"/>
        <v>5.656617265059076E-2</v>
      </c>
      <c r="AA66">
        <f t="shared" si="15"/>
        <v>6.434805772873891</v>
      </c>
      <c r="AB66">
        <f t="shared" si="16"/>
        <v>39.909101734847987</v>
      </c>
      <c r="AC66">
        <f t="shared" si="17"/>
        <v>6.0442655334049791E-5</v>
      </c>
      <c r="AD66">
        <f t="shared" si="18"/>
        <v>5.6373984348278186E-2</v>
      </c>
      <c r="AE66">
        <f t="shared" si="19"/>
        <v>6.3455954498521381</v>
      </c>
      <c r="AF66">
        <f t="shared" si="20"/>
        <v>17.827907971166432</v>
      </c>
      <c r="AG66">
        <f t="shared" si="21"/>
        <v>1.5132932235371388</v>
      </c>
    </row>
    <row r="67" spans="2:33">
      <c r="B67" s="22">
        <v>580</v>
      </c>
      <c r="C67" s="23">
        <f t="shared" si="0"/>
        <v>1.6925819822431433E-5</v>
      </c>
      <c r="D67" s="23">
        <f t="shared" si="1"/>
        <v>1.6794860990091212E-2</v>
      </c>
      <c r="E67" s="23">
        <f t="shared" si="2"/>
        <v>2.0704287374271311</v>
      </c>
      <c r="F67" s="23">
        <f t="shared" si="3"/>
        <v>6.0600970729392323</v>
      </c>
      <c r="G67" s="23">
        <v>1.692581982243144E-5</v>
      </c>
      <c r="H67" s="23">
        <v>1.6794860990091219E-2</v>
      </c>
      <c r="I67" s="23">
        <v>2.070428737427132</v>
      </c>
      <c r="J67" s="23">
        <v>6.0600970729392296</v>
      </c>
      <c r="K67" s="29">
        <f t="shared" si="4"/>
        <v>4.0035068605976533E-14</v>
      </c>
      <c r="L67" s="29">
        <f t="shared" si="5"/>
        <v>4.1315578068797943E-14</v>
      </c>
      <c r="M67" s="29">
        <f t="shared" si="6"/>
        <v>4.2898284961202841E-14</v>
      </c>
      <c r="N67" s="29">
        <f t="shared" si="7"/>
        <v>4.3968524382201684E-14</v>
      </c>
      <c r="T67">
        <f t="shared" si="8"/>
        <v>4.5234936393588111E-4</v>
      </c>
      <c r="U67">
        <f t="shared" si="9"/>
        <v>2.7937005615609424E-3</v>
      </c>
      <c r="V67">
        <f t="shared" si="10"/>
        <v>4.5314236615695995E-2</v>
      </c>
      <c r="W67">
        <f t="shared" si="11"/>
        <v>8.5750073243028829E-2</v>
      </c>
      <c r="X67">
        <f t="shared" si="12"/>
        <v>2</v>
      </c>
      <c r="Y67">
        <f t="shared" si="13"/>
        <v>4.5234936393588111E-5</v>
      </c>
      <c r="Z67">
        <f t="shared" si="14"/>
        <v>4.5028776252821305E-2</v>
      </c>
      <c r="AA67">
        <f t="shared" si="15"/>
        <v>5.6043275117005971</v>
      </c>
      <c r="AB67">
        <f t="shared" si="16"/>
        <v>35.431297295885429</v>
      </c>
      <c r="AC67">
        <f t="shared" si="17"/>
        <v>4.5234936393588111E-5</v>
      </c>
      <c r="AD67">
        <f t="shared" si="18"/>
        <v>4.488494363026934E-2</v>
      </c>
      <c r="AE67">
        <f t="shared" si="19"/>
        <v>5.5333043378408924</v>
      </c>
      <c r="AF67">
        <f t="shared" si="20"/>
        <v>16.195853938494576</v>
      </c>
      <c r="AG67">
        <f t="shared" si="21"/>
        <v>1.4967033157876271</v>
      </c>
    </row>
    <row r="68" spans="2:33">
      <c r="B68" s="22">
        <v>600</v>
      </c>
      <c r="C68" s="23">
        <f t="shared" si="0"/>
        <v>1.2528195608372545E-5</v>
      </c>
      <c r="D68" s="23">
        <f t="shared" si="1"/>
        <v>1.3219032709203308E-2</v>
      </c>
      <c r="E68" s="23">
        <f t="shared" si="2"/>
        <v>1.7811316224008669</v>
      </c>
      <c r="F68" s="23">
        <f t="shared" si="3"/>
        <v>5.4190613333585231</v>
      </c>
      <c r="G68" s="23">
        <v>1.252819560837255E-5</v>
      </c>
      <c r="H68" s="23">
        <v>1.3219032709203309E-2</v>
      </c>
      <c r="I68" s="23">
        <v>1.781131622400866</v>
      </c>
      <c r="J68" s="23">
        <v>5.4190613333585258</v>
      </c>
      <c r="K68" s="29">
        <f t="shared" si="4"/>
        <v>4.0566078646867441E-14</v>
      </c>
      <c r="L68" s="29">
        <f t="shared" si="5"/>
        <v>1.3122922941018701E-14</v>
      </c>
      <c r="M68" s="29">
        <f t="shared" si="6"/>
        <v>4.9865962095654125E-14</v>
      </c>
      <c r="N68" s="29">
        <f t="shared" si="7"/>
        <v>4.9169682629316161E-14</v>
      </c>
      <c r="T68">
        <f t="shared" si="8"/>
        <v>3.3846526400356243E-4</v>
      </c>
      <c r="U68">
        <f t="shared" si="9"/>
        <v>2.2223975446744567E-3</v>
      </c>
      <c r="V68">
        <f t="shared" si="10"/>
        <v>3.9364327861568245E-2</v>
      </c>
      <c r="W68">
        <f t="shared" si="11"/>
        <v>7.5880374275495599E-2</v>
      </c>
      <c r="X68">
        <f t="shared" si="12"/>
        <v>2</v>
      </c>
      <c r="Y68">
        <f t="shared" si="13"/>
        <v>3.3846526400356241E-5</v>
      </c>
      <c r="Z68">
        <f t="shared" si="14"/>
        <v>3.5820532508341468E-2</v>
      </c>
      <c r="AA68">
        <f t="shared" si="15"/>
        <v>4.868460821378461</v>
      </c>
      <c r="AB68">
        <f t="shared" si="16"/>
        <v>31.353210536140388</v>
      </c>
      <c r="AC68">
        <f t="shared" si="17"/>
        <v>3.3846526400356241E-5</v>
      </c>
      <c r="AD68">
        <f t="shared" si="18"/>
        <v>3.5712911385276783E-2</v>
      </c>
      <c r="AE68">
        <f t="shared" si="19"/>
        <v>4.8119553976162353</v>
      </c>
      <c r="AF68">
        <f t="shared" si="20"/>
        <v>14.640288850701889</v>
      </c>
      <c r="AG68">
        <f t="shared" si="21"/>
        <v>1.4805886382764151</v>
      </c>
    </row>
    <row r="70" spans="2:33">
      <c r="B70" s="36" t="s">
        <v>110</v>
      </c>
      <c r="D70" s="37">
        <f>MAX(K39:N68)</f>
        <v>3.6473126243697138E-13</v>
      </c>
    </row>
    <row r="71" spans="2:33">
      <c r="B71" s="55" t="str">
        <f>IF(D70&lt;0.01,"PASS — engine reproduces BIOCHLOR benchmark","CHECK")</f>
        <v>PASS — engine reproduces BIOCHLOR benchmark</v>
      </c>
      <c r="C71" s="45"/>
      <c r="D71" s="45"/>
      <c r="E71" s="45"/>
      <c r="F71" s="45"/>
    </row>
  </sheetData>
  <mergeCells count="3">
    <mergeCell ref="B3:M3"/>
    <mergeCell ref="B2:M2"/>
    <mergeCell ref="B71:F7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54</vt:i4>
      </vt:variant>
    </vt:vector>
  </HeadingPairs>
  <TitlesOfParts>
    <vt:vector size="67" baseType="lpstr">
      <vt:lpstr>Start</vt:lpstr>
      <vt:lpstr>Inputs</vt:lpstr>
      <vt:lpstr>Centerline</vt:lpstr>
      <vt:lpstr>Plume_PCE</vt:lpstr>
      <vt:lpstr>Plume_TCE</vt:lpstr>
      <vt:lpstr>Plume_DCE</vt:lpstr>
      <vt:lpstr>Plume_VC</vt:lpstr>
      <vt:lpstr>Breakthrough</vt:lpstr>
      <vt:lpstr>Validation</vt:lpstr>
      <vt:lpstr>Num_Validation</vt:lpstr>
      <vt:lpstr>The_Landscape</vt:lpstr>
      <vt:lpstr>Engine</vt:lpstr>
      <vt:lpstr>Calc_x</vt:lpstr>
      <vt:lpstr>a_L</vt:lpstr>
      <vt:lpstr>a_T</vt:lpstr>
      <vt:lpstr>a_V</vt:lpstr>
      <vt:lpstr>a0_1</vt:lpstr>
      <vt:lpstr>a0_2</vt:lpstr>
      <vt:lpstr>a0_3</vt:lpstr>
      <vt:lpstr>a0_4</vt:lpstr>
      <vt:lpstr>C0_1</vt:lpstr>
      <vt:lpstr>C0_2</vt:lpstr>
      <vt:lpstr>C0_3</vt:lpstr>
      <vt:lpstr>C0_4</vt:lpstr>
      <vt:lpstr>cc_1</vt:lpstr>
      <vt:lpstr>cc_2</vt:lpstr>
      <vt:lpstr>cc_3</vt:lpstr>
      <vt:lpstr>cc_4</vt:lpstr>
      <vt:lpstr>kf_1</vt:lpstr>
      <vt:lpstr>kf_2</vt:lpstr>
      <vt:lpstr>kf_3</vt:lpstr>
      <vt:lpstr>kf_4</vt:lpstr>
      <vt:lpstr>lam_1</vt:lpstr>
      <vt:lpstr>lam_2</vt:lpstr>
      <vt:lpstr>lam_3</vt:lpstr>
      <vt:lpstr>lam_4</vt:lpstr>
      <vt:lpstr>mode</vt:lpstr>
      <vt:lpstr>p_21</vt:lpstr>
      <vt:lpstr>p_31</vt:lpstr>
      <vt:lpstr>p_32</vt:lpstr>
      <vt:lpstr>p_41</vt:lpstr>
      <vt:lpstr>p_42</vt:lpstr>
      <vt:lpstr>p_43</vt:lpstr>
      <vt:lpstr>por</vt:lpstr>
      <vt:lpstr>R_eng</vt:lpstr>
      <vt:lpstr>recx_1</vt:lpstr>
      <vt:lpstr>recx_2</vt:lpstr>
      <vt:lpstr>recx_3</vt:lpstr>
      <vt:lpstr>recy_1</vt:lpstr>
      <vt:lpstr>recy_2</vt:lpstr>
      <vt:lpstr>recy_3</vt:lpstr>
      <vt:lpstr>Ri_1</vt:lpstr>
      <vt:lpstr>Ri_2</vt:lpstr>
      <vt:lpstr>Ri_3</vt:lpstr>
      <vt:lpstr>Ri_4</vt:lpstr>
      <vt:lpstr>t_max</vt:lpstr>
      <vt:lpstr>t_sim</vt:lpstr>
      <vt:lpstr>v_c</vt:lpstr>
      <vt:lpstr>v_s</vt:lpstr>
      <vt:lpstr>x_max</vt:lpstr>
      <vt:lpstr>x_min</vt:lpstr>
      <vt:lpstr>y_2</vt:lpstr>
      <vt:lpstr>y_3</vt:lpstr>
      <vt:lpstr>y_4</vt:lpstr>
      <vt:lpstr>y_half</vt:lpstr>
      <vt:lpstr>Y_src</vt:lpstr>
      <vt:lpstr>Z_src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Alex Mikszewski</cp:lastModifiedBy>
  <dcterms:created xsi:type="dcterms:W3CDTF">2026-07-09T21:50:55Z</dcterms:created>
  <dcterms:modified xsi:type="dcterms:W3CDTF">2026-09-08T19:39:07Z</dcterms:modified>
</cp:coreProperties>
</file>